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8800" windowHeight="12315"/>
  </bookViews>
  <sheets>
    <sheet name="Berechnung" sheetId="1" r:id="rId1"/>
    <sheet name="Beitragssätze und Höchstbeträge" sheetId="2" r:id="rId2"/>
    <sheet name="Daten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2" l="1"/>
  <c r="N10" i="2"/>
  <c r="K10" i="2"/>
  <c r="H10" i="2"/>
  <c r="Q12" i="2"/>
  <c r="Q10" i="2"/>
  <c r="B51" i="1" l="1"/>
  <c r="B45" i="1"/>
  <c r="B47" i="1" s="1"/>
  <c r="F78" i="1" l="1"/>
  <c r="F75" i="1"/>
  <c r="G3" i="1" l="1"/>
  <c r="D37" i="1"/>
  <c r="F37" i="1" s="1"/>
  <c r="T16" i="2" l="1"/>
  <c r="F51" i="1"/>
  <c r="Q16" i="2"/>
  <c r="N16" i="2"/>
  <c r="K16" i="2"/>
  <c r="H16" i="2"/>
  <c r="T12" i="2"/>
  <c r="Q14" i="2"/>
  <c r="N12" i="2"/>
  <c r="N14" i="2" s="1"/>
  <c r="K12" i="2"/>
  <c r="K14" i="2" s="1"/>
  <c r="H12" i="2"/>
  <c r="H14" i="2" s="1"/>
  <c r="D12" i="2"/>
  <c r="D14" i="2" s="1"/>
  <c r="C12" i="2"/>
  <c r="C14" i="2" s="1"/>
  <c r="F12" i="1"/>
  <c r="F45" i="1"/>
  <c r="D34" i="1"/>
  <c r="A28" i="1"/>
  <c r="H26" i="1"/>
  <c r="C5" i="1"/>
  <c r="F23" i="1"/>
  <c r="F18" i="1"/>
  <c r="C7" i="1"/>
  <c r="F15" i="1"/>
  <c r="D49" i="1" l="1"/>
  <c r="F49" i="1" s="1"/>
  <c r="T14" i="2"/>
  <c r="T18" i="2" s="1"/>
  <c r="F47" i="1"/>
  <c r="H18" i="2"/>
  <c r="K18" i="2"/>
  <c r="N18" i="2"/>
  <c r="Q18" i="2"/>
  <c r="D43" i="1"/>
  <c r="F43" i="1" s="1"/>
  <c r="D65" i="1" l="1"/>
  <c r="G65" i="1" s="1"/>
  <c r="G49" i="1"/>
  <c r="G51" i="1"/>
  <c r="D60" i="1"/>
  <c r="G60" i="1" s="1"/>
  <c r="D70" i="1"/>
  <c r="G70" i="1" s="1"/>
  <c r="D82" i="1"/>
  <c r="G82" i="1" s="1"/>
  <c r="C45" i="1"/>
  <c r="D47" i="1"/>
  <c r="G78" i="1" s="1"/>
  <c r="A58" i="1" l="1"/>
  <c r="A57" i="1" s="1"/>
  <c r="A87" i="1"/>
  <c r="B62" i="1"/>
  <c r="B84" i="1"/>
  <c r="F82" i="1" s="1"/>
  <c r="B72" i="1"/>
  <c r="B67" i="1"/>
  <c r="C51" i="1"/>
  <c r="D51" i="1"/>
  <c r="C47" i="1"/>
  <c r="B53" i="1"/>
  <c r="F53" i="1" s="1"/>
  <c r="F72" i="1" l="1"/>
  <c r="F70" i="1"/>
  <c r="F62" i="1"/>
  <c r="F60" i="1"/>
  <c r="F67" i="1"/>
  <c r="F65" i="1"/>
  <c r="C62" i="1"/>
  <c r="D62" i="1" s="1"/>
  <c r="C67" i="1"/>
  <c r="D67" i="1" s="1"/>
  <c r="C72" i="1"/>
  <c r="D72" i="1" s="1"/>
  <c r="F84" i="1"/>
  <c r="C84" i="1"/>
  <c r="D84" i="1" s="1"/>
  <c r="D53" i="1"/>
  <c r="C53" i="1"/>
  <c r="C3" i="1" l="1"/>
</calcChain>
</file>

<file path=xl/sharedStrings.xml><?xml version="1.0" encoding="utf-8"?>
<sst xmlns="http://schemas.openxmlformats.org/spreadsheetml/2006/main" count="145" uniqueCount="94">
  <si>
    <t>Steuernummer</t>
  </si>
  <si>
    <t>Steuerpflichtiger</t>
  </si>
  <si>
    <t>Veranlagungszeitraum</t>
  </si>
  <si>
    <t>Werte gemäß österreichischen Lohnzettel L16</t>
  </si>
  <si>
    <t>Bruttobezüge gem. Kennziffer 210</t>
  </si>
  <si>
    <t>darin enthaltene sonstige Bezüge gem. Kennziffer 220</t>
  </si>
  <si>
    <t>insgesamt einbehaltene SozV-Beiträge</t>
  </si>
  <si>
    <t>Weitere Angaben</t>
  </si>
  <si>
    <t>Monate Sozialversicherungspflicht in Österreich</t>
  </si>
  <si>
    <t>Maßgebender Artikel im DBA-Österreich</t>
  </si>
  <si>
    <t>Anlage N</t>
  </si>
  <si>
    <t>Bruttobezüge</t>
  </si>
  <si>
    <t>+/- sonstige Korrektur</t>
  </si>
  <si>
    <t>Bruttoarbeitslohn nach deutschem Steuerrecht</t>
  </si>
  <si>
    <t>Arbeitnehmerbeitrag Arbeiterkammer (Werbungskosten)</t>
  </si>
  <si>
    <t>Anlage Vorsorgeaufwand</t>
  </si>
  <si>
    <t>Arbeitnehmerbeitrag Rentenversicherung</t>
  </si>
  <si>
    <t>Arbeitgeberbeitrag Rentenversicherung</t>
  </si>
  <si>
    <t>Beitrag Krankenversicherung</t>
  </si>
  <si>
    <t>Pflegepflichtversicherung</t>
  </si>
  <si>
    <t>---</t>
  </si>
  <si>
    <t>Private Pflegeversicherung</t>
  </si>
  <si>
    <t>Arbeitslosenversicherung</t>
  </si>
  <si>
    <t>Beitragsbemessungsgrenze für Renten-, Kranken- und Arbeitslosenversicherung</t>
  </si>
  <si>
    <t>Beitragsbemessungsgrenze für Arbeiterkammerbeitrag (ohne 13. und 14. Bezug)</t>
  </si>
  <si>
    <t>Rentenversicherung ArbN-Anteil</t>
  </si>
  <si>
    <t>Rentenversicherung ArbG-Anteil</t>
  </si>
  <si>
    <t>Krankenversicherung ArbN-Anteil</t>
  </si>
  <si>
    <t>Arbeitslosenversicherung ArbN-Anteil</t>
  </si>
  <si>
    <t>Arbeiterkammerbeitrag ArbN-Anteil</t>
  </si>
  <si>
    <t>Beitragssatz</t>
  </si>
  <si>
    <t>Höchstbeitrag</t>
  </si>
  <si>
    <t>Höchstbetrag ausgewähltes Jahr</t>
  </si>
  <si>
    <t>Arbeitslohn x Beitragssatz</t>
  </si>
  <si>
    <t>Ansatz (niedrigerer Wert)</t>
  </si>
  <si>
    <t>Art. 15 Abs. 1 und 2</t>
  </si>
  <si>
    <t>Dem Ansässigkeitsstaat Deutschland steht das Besteuerungsrecht für Tätigkeitstage in Deutschland (z. B. Homeoffice) und für Tätigkeitstage außerhalb von Österreich (z. B. Dienstreisen) zu.</t>
  </si>
  <si>
    <t>Art. 15 Abs. 5 - Schifffahrt und Luftverkehr</t>
  </si>
  <si>
    <t>Volle Besteuerung in Deutschland und Vermeidung der Doppelbesteuerung durch Anrechnung der österreichischen Steuern.</t>
  </si>
  <si>
    <t>Art. 15 Abs. 6 - Grenzgänger</t>
  </si>
  <si>
    <t>Ausschließliche Besteuerung im Ansässigkeitsstaat Deutschland.</t>
  </si>
  <si>
    <t>Art. 16 Abs. 2 - Geschäftsführer und Vorstände</t>
  </si>
  <si>
    <t>Art. 17 - Künstler und Sportler</t>
  </si>
  <si>
    <t>Art. 19 Abs. 1 - öffentlicher Dienst</t>
  </si>
  <si>
    <t>Für Arbeitstage im Ansässigkeitsstaat Deutschland (z. B. Homeoffice) kann sich nach Art. 19 Abs. 1 Satz 2 DBA ein deutsches Besteuerungsrecht ergeben.</t>
  </si>
  <si>
    <t>stpfl. Arbeitslohn Grenzgänger</t>
  </si>
  <si>
    <t>stpfl. Arbeitslohn ohne Lohnsteuerabzug</t>
  </si>
  <si>
    <t>steuerfreier Arbeitslohn Progressionsvorbehalt</t>
  </si>
  <si>
    <t>WK Arbeiterkammer zu stpfl. Einkünften</t>
  </si>
  <si>
    <t>WK Arbeiterkammer zu Progressionseinkünften</t>
  </si>
  <si>
    <t>RV ArbN-Beitrag</t>
  </si>
  <si>
    <t>RV ArbG-Beitrag</t>
  </si>
  <si>
    <t>ausländ. Krankenversicherung</t>
  </si>
  <si>
    <t>ausländ. Pflegeversicherung</t>
  </si>
  <si>
    <t>inländ. private Pflegeversicherung</t>
  </si>
  <si>
    <t>Volle Besteuerung im Ansässigkeitsstaat Deutschland und Vermeidung der Doppelbesteuerung durch Anrechnung der österreichischen Steuern.</t>
  </si>
  <si>
    <t>Freistellung im Ansässigkeitsstaat Deutschland. Die Besteuerung in Österreich ist nachzuweisen.</t>
  </si>
  <si>
    <t xml:space="preserve">   (vgl. BFH-Urteil v. 13.02.2020 - VI R 20/17)</t>
  </si>
  <si>
    <t>Es handelt sich um einen Geschäftsführer bzw. Vorstand und es liegt keine Eintragung von SozV-Beiträgen in Zeile 18 der Excel-Vorlage vor. Da unklar ist, ob eine SozV-Pflicht in Österreich bestand, sind die SozV-Beiträge nachzuweisen.</t>
  </si>
  <si>
    <t>Es handelt sich um einen Angestellten im öffentlichen Dienst und es liegt keine Eintragung von SozV-Beiträgen in Zeile 18 der Excel-Vorlage vor. Da unklar ist, ob eine SozV-Pflicht in Österreich bestand, sind die SozV-Beiträge nachzuweisen.</t>
  </si>
  <si>
    <t>Die tatsächlichen SozV-Beiträge (Zeile 18 der Excel-Vorlage) sind niedriger als die pauschal ermittelten Beiträge. Ein Ansatz der pauschalen Ermittlung würde daher zu einem unzutreffenden Ergebnis führen. Eine Aufteilung der Beiträge ist nur anhand von Nachweisen möglich.</t>
  </si>
  <si>
    <t>Nicht alle österreichischen SozV-Beiträge sind nach deutschem Steuerrecht als Sonderausgabe abzugsfähig. Beispielsweise besteht keine Abzugsmöglichkeit für Pflichtbeiträge zur Wohnraumförderung. Aus diesem Grund sind die tatsächlichen SozV-Beiträge (Zeile 18 der Excel-Vorlage) höher als die nach der pauschalen Ermittlung berücksichtigungsfähigen Beiträge.</t>
  </si>
  <si>
    <t xml:space="preserve">    Keine Pflegepflichtversicherung in Österreich.</t>
  </si>
  <si>
    <t>Bemerkungen</t>
  </si>
  <si>
    <t xml:space="preserve">Datum      </t>
  </si>
  <si>
    <t>zeitanteilig gekürzt</t>
  </si>
  <si>
    <t>Anlage N Zeile 26</t>
  </si>
  <si>
    <t>Anlage N Zeile 21</t>
  </si>
  <si>
    <t>Anlage N Zeile 22</t>
  </si>
  <si>
    <t>Anlage N Zeile 40</t>
  </si>
  <si>
    <t>Anlage N Zeile 41</t>
  </si>
  <si>
    <t>Anlage N Zeile 94</t>
  </si>
  <si>
    <t>Anlage N Zeile 76</t>
  </si>
  <si>
    <t>Anlage Vorsorgeaufw. Zeile 4</t>
  </si>
  <si>
    <t>Anlage Vorsorgeaufw. Zeile 9</t>
  </si>
  <si>
    <t>Anlage Vorsorgeaufw. Zeile 31</t>
  </si>
  <si>
    <t>Anlage Vorsorgeaufw. Zeile 33</t>
  </si>
  <si>
    <t>Anlage Vorsorgeaufw. Zeile 45</t>
  </si>
  <si>
    <t>Anlage Vorsorgeaufw. Zeile 46</t>
  </si>
  <si>
    <t>Anlage Vorsorgaufw. Zeile 27 (Zeile 36 bei ausländ. PV)</t>
  </si>
  <si>
    <t>Anlage Vorsorgaufw. Zeile 29 (Zeile 36 bei ausländ. PV)</t>
  </si>
  <si>
    <t>Anlage Vorsorgaufw. Zeile 28 (Zeile 36 bei ausländ. PV)</t>
  </si>
  <si>
    <t>Arbeitshilfe zur Aufteilung von Vorsorgeaufwendungen für Arbeitnehmer mit einer Beschäftigung in Österreich</t>
  </si>
  <si>
    <t>+ Beitrag betriebliche Vorsorgekasse</t>
  </si>
  <si>
    <t>Für Pflichtbeiträge, die in einen unmittelbarem wirtschaftlichen Zusammenhang mit nach DBA steuerfreien Einnahmen stehen, besteht nach § 10 Abs. 2 Satz 1 Nr. 1 EStG ein Abzugsverbot. Daher ist nur ein Teil der SozV-Beiträge abzugsfähig. Vgl. auch Rz. 93 - 98 im BMF-Schreiben vom 12.12.2023.</t>
  </si>
  <si>
    <t>Anlage N Zeile 29</t>
  </si>
  <si>
    <t>Anlage N Zeile 24</t>
  </si>
  <si>
    <t>Anlage N Zeile 56</t>
  </si>
  <si>
    <t>Anlage N Zeile 84</t>
  </si>
  <si>
    <t>Anlage Vorsorgeaufw. Zeile 28</t>
  </si>
  <si>
    <t>Anlage Vorsorgeaufw. Zeile 30</t>
  </si>
  <si>
    <t>Anlage Vorsorgaufw. Zeile 27 (Zeile 33 bei ausländ. PV)</t>
  </si>
  <si>
    <t>Anlage Vorsorgeaufw. Zeile 43</t>
  </si>
  <si>
    <t>Vorlagenversion: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</si>
</sst>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202124"/>
      <name val="Arial"/>
      <family val="2"/>
    </font>
    <font>
      <i/>
      <sz val="9"/>
      <color theme="1" tint="0.34998626667073579"/>
      <name val="Arial"/>
      <family val="2"/>
    </font>
    <font>
      <sz val="9"/>
      <color rgb="FFFF0000"/>
      <name val="Arial"/>
      <family val="2"/>
    </font>
    <font>
      <sz val="9"/>
      <color theme="1" tint="0.34998626667073579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i/>
      <sz val="8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/>
    <xf numFmtId="0" fontId="0" fillId="2" borderId="0" xfId="0" applyFill="1" applyAlignment="1" applyProtection="1">
      <alignment horizontal="left"/>
      <protection locked="0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8" xfId="0" applyBorder="1"/>
    <xf numFmtId="0" fontId="0" fillId="2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/>
    <xf numFmtId="164" fontId="0" fillId="0" borderId="0" xfId="0" applyNumberFormat="1" applyBorder="1"/>
    <xf numFmtId="0" fontId="0" fillId="0" borderId="4" xfId="0" quotePrefix="1" applyBorder="1"/>
    <xf numFmtId="0" fontId="1" fillId="0" borderId="4" xfId="0" applyFont="1" applyBorder="1"/>
    <xf numFmtId="164" fontId="1" fillId="0" borderId="0" xfId="0" applyNumberFormat="1" applyFont="1" applyBorder="1"/>
    <xf numFmtId="0" fontId="7" fillId="0" borderId="0" xfId="0" applyFont="1" applyBorder="1"/>
    <xf numFmtId="164" fontId="0" fillId="2" borderId="0" xfId="0" applyNumberFormat="1" applyFill="1" applyBorder="1" applyProtection="1">
      <protection locked="0"/>
    </xf>
    <xf numFmtId="164" fontId="0" fillId="0" borderId="0" xfId="0" applyNumberFormat="1" applyBorder="1" applyProtection="1"/>
    <xf numFmtId="10" fontId="7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7" fillId="0" borderId="7" xfId="0" applyFont="1" applyBorder="1"/>
    <xf numFmtId="164" fontId="0" fillId="0" borderId="7" xfId="0" applyNumberFormat="1" applyBorder="1"/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quotePrefix="1" applyFont="1" applyBorder="1"/>
    <xf numFmtId="0" fontId="8" fillId="0" borderId="4" xfId="0" applyFont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>
      <alignment horizontal="center"/>
    </xf>
    <xf numFmtId="10" fontId="7" fillId="0" borderId="7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/>
    <xf numFmtId="0" fontId="0" fillId="0" borderId="0" xfId="0" applyAlignment="1">
      <alignment horizontal="right"/>
    </xf>
    <xf numFmtId="164" fontId="0" fillId="0" borderId="0" xfId="0" applyNumberFormat="1" applyFill="1" applyBorder="1" applyProtection="1">
      <protection locked="0"/>
    </xf>
    <xf numFmtId="0" fontId="1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8" fontId="0" fillId="0" borderId="15" xfId="0" applyNumberFormat="1" applyBorder="1"/>
    <xf numFmtId="164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6" xfId="0" applyFont="1" applyBorder="1"/>
    <xf numFmtId="0" fontId="0" fillId="0" borderId="19" xfId="0" applyBorder="1"/>
    <xf numFmtId="0" fontId="0" fillId="0" borderId="20" xfId="0" applyBorder="1"/>
    <xf numFmtId="0" fontId="1" fillId="0" borderId="15" xfId="0" applyFont="1" applyBorder="1" applyAlignment="1">
      <alignment vertical="center"/>
    </xf>
    <xf numFmtId="10" fontId="0" fillId="0" borderId="15" xfId="0" applyNumberFormat="1" applyBorder="1" applyAlignment="1">
      <alignment horizontal="center"/>
    </xf>
    <xf numFmtId="164" fontId="0" fillId="0" borderId="18" xfId="0" applyNumberFormat="1" applyBorder="1"/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9" xfId="0" applyFont="1" applyBorder="1"/>
    <xf numFmtId="0" fontId="0" fillId="0" borderId="21" xfId="0" applyBorder="1"/>
    <xf numFmtId="0" fontId="15" fillId="0" borderId="0" xfId="1" quotePrefix="1"/>
    <xf numFmtId="0" fontId="14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3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Beitragss&#228;tze und H&#246;chstbetr&#228;g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Berechnu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231321</xdr:colOff>
      <xdr:row>54</xdr:row>
      <xdr:rowOff>95250</xdr:rowOff>
    </xdr:from>
    <xdr:to>
      <xdr:col>3</xdr:col>
      <xdr:colOff>653143</xdr:colOff>
      <xdr:row>55</xdr:row>
      <xdr:rowOff>115661</xdr:rowOff>
    </xdr:to>
    <xdr:sp macro="[0]!Wechsel_Beitragssätze" textlink="">
      <xdr:nvSpPr>
        <xdr:cNvPr id="2" name="Rechteck 1">
          <a:hlinkClick xmlns:r="http://schemas.openxmlformats.org/officeDocument/2006/relationships" r:id="rId1"/>
        </xdr:cNvPr>
        <xdr:cNvSpPr/>
      </xdr:nvSpPr>
      <xdr:spPr>
        <a:xfrm>
          <a:off x="1939017" y="7640411"/>
          <a:ext cx="3279322" cy="20410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de-DE" sz="900" u="sng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Übersicht der</a:t>
          </a:r>
          <a:r>
            <a:rPr lang="de-DE" sz="900" u="sng" baseline="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 Beitragssätze und Höchstbeträge (hier klicken)</a:t>
          </a:r>
          <a:endParaRPr lang="de-DE" sz="900" u="sng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20</xdr:row>
      <xdr:rowOff>85725</xdr:rowOff>
    </xdr:from>
    <xdr:to>
      <xdr:col>1</xdr:col>
      <xdr:colOff>800100</xdr:colOff>
      <xdr:row>26</xdr:row>
      <xdr:rowOff>95250</xdr:rowOff>
    </xdr:to>
    <xdr:sp macro="[0]!Wechsel_Berechnung" textlink="">
      <xdr:nvSpPr>
        <xdr:cNvPr id="3" name="Pfeil nach links 2">
          <a:hlinkClick xmlns:r="http://schemas.openxmlformats.org/officeDocument/2006/relationships" r:id="rId1"/>
        </xdr:cNvPr>
        <xdr:cNvSpPr/>
      </xdr:nvSpPr>
      <xdr:spPr>
        <a:xfrm>
          <a:off x="495300" y="4057650"/>
          <a:ext cx="2428875" cy="1095375"/>
        </a:xfrm>
        <a:prstGeom prst="leftArrow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u="sng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 Berechnung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tabSelected="1" zoomScale="140" zoomScaleNormal="140" workbookViewId="0">
      <selection activeCell="B3" sqref="B3"/>
    </sheetView>
  </sheetViews>
  <sheetFormatPr baseColWidth="10" defaultRowHeight="14.25" x14ac:dyDescent="0.2"/>
  <cols>
    <col min="1" max="1" width="22.375" customWidth="1"/>
    <col min="2" max="2" width="27.5" customWidth="1"/>
    <col min="3" max="3" width="10.75" customWidth="1"/>
    <col min="4" max="4" width="13.75" customWidth="1"/>
    <col min="5" max="5" width="1.625" customWidth="1"/>
    <col min="6" max="6" width="21" customWidth="1"/>
    <col min="7" max="7" width="17.25" customWidth="1"/>
    <col min="8" max="8" width="11.375" customWidth="1"/>
    <col min="9" max="9" width="3" customWidth="1"/>
    <col min="10" max="10" width="9.5" customWidth="1"/>
    <col min="11" max="11" width="11.125" customWidth="1"/>
  </cols>
  <sheetData>
    <row r="1" spans="1:12" ht="18" x14ac:dyDescent="0.25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45"/>
    </row>
    <row r="3" spans="1:12" x14ac:dyDescent="0.2">
      <c r="A3" t="s">
        <v>0</v>
      </c>
      <c r="B3" s="4"/>
      <c r="C3" s="18" t="str">
        <f>IF(B3="","     ◀ bitte StNr. eintragen","")</f>
        <v xml:space="preserve">     ◀ bitte StNr. eintragen</v>
      </c>
      <c r="F3" s="46" t="s">
        <v>64</v>
      </c>
      <c r="G3" s="2">
        <f ca="1">TODAY()</f>
        <v>45329</v>
      </c>
    </row>
    <row r="4" spans="1:12" ht="3" customHeight="1" x14ac:dyDescent="0.2"/>
    <row r="5" spans="1:12" x14ac:dyDescent="0.2">
      <c r="A5" t="s">
        <v>1</v>
      </c>
      <c r="B5" s="4"/>
      <c r="C5" s="18" t="str">
        <f>IF(AND(B3&lt;&gt;"",B5=""),"     ◀ bitte Name eintragen","")</f>
        <v/>
      </c>
      <c r="G5" s="1"/>
    </row>
    <row r="7" spans="1:12" ht="15" x14ac:dyDescent="0.2">
      <c r="A7" t="s">
        <v>2</v>
      </c>
      <c r="B7" s="13"/>
      <c r="C7" s="18" t="str">
        <f>IF(AND(B3&lt;&gt;"",B5&lt;&gt;"",B7=""),"     ◀ bitte Jahr auswählen","")</f>
        <v/>
      </c>
      <c r="F7" s="3"/>
    </row>
    <row r="9" spans="1:12" x14ac:dyDescent="0.2">
      <c r="A9" s="77" t="s">
        <v>3</v>
      </c>
      <c r="B9" s="78"/>
      <c r="C9" s="78"/>
      <c r="D9" s="79"/>
    </row>
    <row r="10" spans="1:12" x14ac:dyDescent="0.2">
      <c r="A10" s="80"/>
      <c r="B10" s="81"/>
      <c r="C10" s="81"/>
      <c r="D10" s="82"/>
    </row>
    <row r="11" spans="1:12" ht="3" customHeight="1" x14ac:dyDescent="0.2">
      <c r="A11" s="5"/>
      <c r="B11" s="6"/>
      <c r="C11" s="6"/>
      <c r="D11" s="7"/>
    </row>
    <row r="12" spans="1:12" x14ac:dyDescent="0.2">
      <c r="A12" s="5" t="s">
        <v>4</v>
      </c>
      <c r="B12" s="6"/>
      <c r="C12" s="6"/>
      <c r="D12" s="14"/>
      <c r="F12" s="18" t="str">
        <f>(IF(AND(B7&lt;&gt;"",D12=""),"◀ bitte Bruttobezüge eintragen",""))</f>
        <v/>
      </c>
    </row>
    <row r="13" spans="1:12" ht="3" customHeight="1" x14ac:dyDescent="0.2">
      <c r="A13" s="10"/>
      <c r="B13" s="11"/>
      <c r="C13" s="11"/>
      <c r="D13" s="12"/>
    </row>
    <row r="14" spans="1:12" ht="3" customHeight="1" x14ac:dyDescent="0.2">
      <c r="A14" s="5"/>
      <c r="B14" s="6"/>
      <c r="C14" s="6"/>
      <c r="D14" s="7"/>
    </row>
    <row r="15" spans="1:12" x14ac:dyDescent="0.2">
      <c r="A15" s="5" t="s">
        <v>5</v>
      </c>
      <c r="B15" s="6"/>
      <c r="C15" s="6"/>
      <c r="D15" s="14"/>
      <c r="F15" s="18" t="str">
        <f>(IF(AND(D12&lt;&gt;"",D15=""),"◀ bitte eintragen (ggf. 0 €)",""))</f>
        <v/>
      </c>
    </row>
    <row r="16" spans="1:12" ht="3" customHeight="1" x14ac:dyDescent="0.2">
      <c r="A16" s="10"/>
      <c r="B16" s="11"/>
      <c r="C16" s="11"/>
      <c r="D16" s="12"/>
    </row>
    <row r="17" spans="1:10" ht="3" customHeight="1" x14ac:dyDescent="0.2">
      <c r="A17" s="5"/>
      <c r="B17" s="6"/>
      <c r="C17" s="6"/>
      <c r="D17" s="7"/>
    </row>
    <row r="18" spans="1:10" x14ac:dyDescent="0.2">
      <c r="A18" s="8" t="s">
        <v>6</v>
      </c>
      <c r="B18" s="9"/>
      <c r="C18" s="9"/>
      <c r="D18" s="15"/>
      <c r="F18" s="19" t="str">
        <f>(IF(AND(D12&lt;&gt;"",D15&lt;&gt;"",D18="",D23=""),"◀ bitte eintragen, falls bekannt",""))</f>
        <v/>
      </c>
    </row>
    <row r="20" spans="1:10" x14ac:dyDescent="0.2">
      <c r="A20" s="77" t="s">
        <v>7</v>
      </c>
      <c r="B20" s="78"/>
      <c r="C20" s="78"/>
      <c r="D20" s="78"/>
      <c r="E20" s="78"/>
      <c r="F20" s="78"/>
      <c r="G20" s="79"/>
    </row>
    <row r="21" spans="1:10" x14ac:dyDescent="0.2">
      <c r="A21" s="80"/>
      <c r="B21" s="81"/>
      <c r="C21" s="81"/>
      <c r="D21" s="81"/>
      <c r="E21" s="81"/>
      <c r="F21" s="81"/>
      <c r="G21" s="82"/>
    </row>
    <row r="22" spans="1:10" ht="3" customHeight="1" x14ac:dyDescent="0.2">
      <c r="A22" s="5"/>
      <c r="B22" s="6"/>
      <c r="C22" s="6"/>
      <c r="D22" s="6"/>
      <c r="E22" s="6"/>
      <c r="F22" s="6"/>
      <c r="G22" s="7"/>
    </row>
    <row r="23" spans="1:10" x14ac:dyDescent="0.2">
      <c r="A23" s="5" t="s">
        <v>8</v>
      </c>
      <c r="B23" s="6"/>
      <c r="C23" s="6"/>
      <c r="D23" s="17"/>
      <c r="E23" s="6"/>
      <c r="F23" s="20" t="str">
        <f>IF(AND(D12&lt;&gt;"",D15&lt;&gt;"",D23=""),"◀ bitte Anzahl der Monate auswählen","")</f>
        <v/>
      </c>
      <c r="G23" s="7"/>
      <c r="H23" s="18"/>
    </row>
    <row r="24" spans="1:10" ht="3" customHeight="1" x14ac:dyDescent="0.2">
      <c r="A24" s="10"/>
      <c r="B24" s="11"/>
      <c r="C24" s="11"/>
      <c r="D24" s="11"/>
      <c r="E24" s="11"/>
      <c r="F24" s="11"/>
      <c r="G24" s="12"/>
    </row>
    <row r="25" spans="1:10" ht="3" customHeight="1" x14ac:dyDescent="0.2">
      <c r="A25" s="5"/>
      <c r="B25" s="6"/>
      <c r="C25" s="6"/>
      <c r="D25" s="6"/>
      <c r="E25" s="6"/>
      <c r="F25" s="6"/>
      <c r="G25" s="7"/>
    </row>
    <row r="26" spans="1:10" x14ac:dyDescent="0.2">
      <c r="A26" s="5" t="s">
        <v>9</v>
      </c>
      <c r="B26" s="6"/>
      <c r="C26" s="6"/>
      <c r="D26" s="83"/>
      <c r="E26" s="83"/>
      <c r="F26" s="83"/>
      <c r="G26" s="84"/>
      <c r="H26" s="18" t="str">
        <f>IF(AND(D23&lt;&gt;"",D26=""),"     ◀ bitte DBA-Artikel auswählen","")</f>
        <v/>
      </c>
    </row>
    <row r="27" spans="1:10" ht="3" customHeight="1" x14ac:dyDescent="0.2">
      <c r="A27" s="10"/>
      <c r="B27" s="11"/>
      <c r="C27" s="11"/>
      <c r="D27" s="11"/>
      <c r="E27" s="11"/>
      <c r="F27" s="11"/>
      <c r="G27" s="12"/>
    </row>
    <row r="28" spans="1:10" ht="30.75" customHeight="1" x14ac:dyDescent="0.2">
      <c r="A28" s="85" t="str">
        <f>IF(D26&lt;&gt;"",VLOOKUP(D26,Daten!A3:B8,2,FALSE),"")</f>
        <v/>
      </c>
      <c r="B28" s="86"/>
      <c r="C28" s="86"/>
      <c r="D28" s="86"/>
      <c r="E28" s="86"/>
      <c r="F28" s="86"/>
      <c r="G28" s="87"/>
    </row>
    <row r="31" spans="1:10" x14ac:dyDescent="0.2">
      <c r="A31" s="77" t="s">
        <v>10</v>
      </c>
      <c r="B31" s="78"/>
      <c r="C31" s="78"/>
      <c r="D31" s="78"/>
      <c r="E31" s="78"/>
      <c r="F31" s="78"/>
      <c r="G31" s="78"/>
      <c r="H31" s="78"/>
      <c r="I31" s="78"/>
      <c r="J31" s="79"/>
    </row>
    <row r="32" spans="1:10" x14ac:dyDescent="0.2">
      <c r="A32" s="80"/>
      <c r="B32" s="81"/>
      <c r="C32" s="81"/>
      <c r="D32" s="81"/>
      <c r="E32" s="81"/>
      <c r="F32" s="81"/>
      <c r="G32" s="81"/>
      <c r="H32" s="81"/>
      <c r="I32" s="81"/>
      <c r="J32" s="82"/>
    </row>
    <row r="33" spans="1:10" ht="3" customHeight="1" x14ac:dyDescent="0.2">
      <c r="A33" s="5"/>
      <c r="B33" s="6"/>
      <c r="C33" s="6"/>
      <c r="D33" s="6"/>
      <c r="E33" s="6"/>
      <c r="F33" s="6"/>
      <c r="G33" s="6"/>
      <c r="H33" s="6"/>
      <c r="I33" s="6"/>
      <c r="J33" s="7"/>
    </row>
    <row r="34" spans="1:10" x14ac:dyDescent="0.2">
      <c r="A34" s="5" t="s">
        <v>11</v>
      </c>
      <c r="B34" s="6"/>
      <c r="C34" s="6"/>
      <c r="D34" s="21" t="str">
        <f>IF(OR(D12="",D15="",D23="",D26=""),"",D12)</f>
        <v/>
      </c>
      <c r="E34" s="6"/>
      <c r="F34" s="6"/>
      <c r="G34" s="6"/>
      <c r="H34" s="6"/>
      <c r="I34" s="6"/>
      <c r="J34" s="7"/>
    </row>
    <row r="35" spans="1:10" ht="3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2"/>
    </row>
    <row r="36" spans="1:10" x14ac:dyDescent="0.2">
      <c r="A36" s="22" t="s">
        <v>83</v>
      </c>
      <c r="B36" s="6"/>
      <c r="C36" s="6"/>
      <c r="D36" s="6"/>
      <c r="E36" s="6"/>
      <c r="F36" s="6"/>
      <c r="G36" s="6"/>
      <c r="H36" s="6"/>
      <c r="I36" s="6"/>
      <c r="J36" s="7"/>
    </row>
    <row r="37" spans="1:10" x14ac:dyDescent="0.2">
      <c r="A37" s="35" t="s">
        <v>57</v>
      </c>
      <c r="B37" s="6"/>
      <c r="C37" s="6"/>
      <c r="D37" s="47" t="str">
        <f>IF(D26="","",IF(OR(D26=Daten!A3,D26=Daten!A4, D26=Daten!A5, D26=Daten!A7,AND(D18&lt;&gt;0,D18&lt;&gt;"",D26=Daten!A6),AND(D18&lt;&gt;0,D18&lt;&gt;"",D26=Daten!A8)),D12*1.53%,""))</f>
        <v/>
      </c>
      <c r="E37" s="6"/>
      <c r="F37" s="73" t="str">
        <f>IF(D37=D12*1.53%,"1,53 % der Bruttobezüge gemäß L16.",IF(D37&lt;&gt;"","Betrag lt. beigefügten Nachweis.",IF(AND(OR(D26=Daten!A6,D26=Daten!A8),OR(Berechnung!D18="",Berechnung!D18=0)),"Bitte prüfen Sie, ob Beiträge zur MV-Kasse vom ArbG gezahlt wurden und tragen Sie den Wert ggf. ein.","")))</f>
        <v/>
      </c>
      <c r="G37" s="73"/>
      <c r="H37" s="73"/>
      <c r="I37" s="73"/>
      <c r="J37" s="74"/>
    </row>
    <row r="38" spans="1:10" x14ac:dyDescent="0.2">
      <c r="A38" s="10"/>
      <c r="B38" s="11"/>
      <c r="C38" s="11"/>
      <c r="D38" s="11"/>
      <c r="E38" s="11"/>
      <c r="F38" s="75"/>
      <c r="G38" s="75"/>
      <c r="H38" s="75"/>
      <c r="I38" s="75"/>
      <c r="J38" s="76"/>
    </row>
    <row r="39" spans="1:10" ht="3" customHeight="1" x14ac:dyDescent="0.2">
      <c r="A39" s="5"/>
      <c r="B39" s="6"/>
      <c r="C39" s="6"/>
      <c r="D39" s="6"/>
      <c r="E39" s="6"/>
      <c r="F39" s="6"/>
      <c r="G39" s="6"/>
      <c r="H39" s="6"/>
      <c r="I39" s="6"/>
      <c r="J39" s="7"/>
    </row>
    <row r="40" spans="1:10" x14ac:dyDescent="0.2">
      <c r="A40" s="5" t="s">
        <v>12</v>
      </c>
      <c r="B40" s="6"/>
      <c r="C40" s="6"/>
      <c r="D40" s="26"/>
      <c r="E40" s="6"/>
      <c r="F40" s="6"/>
      <c r="G40" s="6"/>
      <c r="H40" s="6"/>
      <c r="I40" s="6"/>
      <c r="J40" s="7"/>
    </row>
    <row r="41" spans="1:10" ht="3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2"/>
    </row>
    <row r="42" spans="1:10" ht="9" customHeight="1" x14ac:dyDescent="0.2">
      <c r="A42" s="5"/>
      <c r="B42" s="6"/>
      <c r="C42" s="6"/>
      <c r="D42" s="6"/>
      <c r="E42" s="6"/>
      <c r="F42" s="6"/>
      <c r="G42" s="6"/>
      <c r="H42" s="6"/>
      <c r="I42" s="6"/>
      <c r="J42" s="7"/>
    </row>
    <row r="43" spans="1:10" ht="15" x14ac:dyDescent="0.25">
      <c r="A43" s="23" t="s">
        <v>13</v>
      </c>
      <c r="B43" s="6"/>
      <c r="C43" s="6"/>
      <c r="D43" s="24" t="str">
        <f>IF(OR(D12="",D26="",D23=""),"",IF(AND(D34&lt;&gt;"",D37="",D40=""),D34,IF(AND(D34&lt;&gt;"",D37&lt;&gt;"",D40=""),D34+D37,SUM(D34+D37+D40))))</f>
        <v/>
      </c>
      <c r="E43" s="6"/>
      <c r="F43" s="33" t="str">
        <f>IF(AND(D43&lt;&gt;"",D26=Daten!A5),HLOOKUP(B7,Daten!A24:O36,2,FALSE),IF(AND(Berechnung!D43&lt;&gt;"",Berechnung!D26&lt;&gt;"",B45=""),HLOOKUP(B7,Daten!A24:O36,3,FALSE),""))</f>
        <v/>
      </c>
      <c r="G43" s="6"/>
      <c r="H43" s="6"/>
      <c r="I43" s="6"/>
      <c r="J43" s="7"/>
    </row>
    <row r="44" spans="1:10" ht="3" customHeight="1" x14ac:dyDescent="0.2">
      <c r="A44" s="5"/>
      <c r="B44" s="6"/>
      <c r="C44" s="6"/>
      <c r="D44" s="6"/>
      <c r="E44" s="6"/>
      <c r="F44" s="6"/>
      <c r="G44" s="6"/>
      <c r="H44" s="6"/>
      <c r="I44" s="6"/>
      <c r="J44" s="7"/>
    </row>
    <row r="45" spans="1:10" x14ac:dyDescent="0.2">
      <c r="A45" s="5"/>
      <c r="B45" s="25" t="str">
        <f>IF(OR(D26=Daten!A3,D26=Daten!A8),"davon nach DBA steuerpflichtig","")</f>
        <v/>
      </c>
      <c r="C45" s="28" t="str">
        <f>IF(D45&lt;&gt;"",D45/D43,"")</f>
        <v/>
      </c>
      <c r="D45" s="26"/>
      <c r="E45" s="6"/>
      <c r="F45" s="33" t="str">
        <f>IF(AND(D45&lt;&gt;"",OR(D26=Daten!A4,D26=Daten!A5,D26=Daten!A6,D26=Daten!A7)),"◀ bitte Eingabe löschen",IF(B45&lt;&gt;"",HLOOKUP(B7,Daten!A24:O36,3,FALSE),""))</f>
        <v/>
      </c>
      <c r="G45" s="6"/>
      <c r="H45" s="6"/>
      <c r="I45" s="6"/>
      <c r="J45" s="7"/>
    </row>
    <row r="46" spans="1:10" ht="3" customHeight="1" x14ac:dyDescent="0.2">
      <c r="A46" s="5"/>
      <c r="B46" s="6"/>
      <c r="C46" s="6"/>
      <c r="D46" s="6"/>
      <c r="E46" s="6"/>
      <c r="F46" s="6"/>
      <c r="G46" s="6"/>
      <c r="H46" s="6"/>
      <c r="I46" s="6"/>
      <c r="J46" s="7"/>
    </row>
    <row r="47" spans="1:10" x14ac:dyDescent="0.2">
      <c r="A47" s="5"/>
      <c r="B47" s="25" t="str">
        <f>IF(B45&lt;&gt;"","davon nach DBA steuerfrei","")</f>
        <v/>
      </c>
      <c r="C47" s="28" t="str">
        <f>IF(D47&lt;&gt;"",D47/D43,"")</f>
        <v/>
      </c>
      <c r="D47" s="27" t="str">
        <f>IF(D45&lt;&gt;"",D43-D45,"")</f>
        <v/>
      </c>
      <c r="E47" s="6"/>
      <c r="F47" s="33" t="str">
        <f>IF(B47&lt;&gt;"",HLOOKUP(B7,Daten!A24:O36,4,FALSE),"")</f>
        <v/>
      </c>
      <c r="G47" s="6"/>
      <c r="H47" s="6"/>
      <c r="I47" s="6"/>
      <c r="J47" s="7"/>
    </row>
    <row r="48" spans="1:10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2"/>
    </row>
    <row r="49" spans="1:11" x14ac:dyDescent="0.2">
      <c r="A49" s="5" t="s">
        <v>14</v>
      </c>
      <c r="B49" s="6"/>
      <c r="C49" s="6"/>
      <c r="D49" s="47" t="str">
        <f>IF(OR(D15="",D26="",D23=""),"",IF(OR(D26=Daten!A8,D26=Daten!A6),"",IF(((D12-D15)*0.5%)&lt;('Beitragssätze und Höchstbeträge'!T12/12*D23),(D12-D15)*0.5%,'Beitragssätze und Höchstbeträge'!T12/12*D23)))</f>
        <v/>
      </c>
      <c r="E49" s="6"/>
      <c r="F49" s="33" t="e">
        <f>IF(F51&lt;&gt;"","",IF(OR(AND(B51="",OR(D26=Daten!A6,D26=Daten!A8)),AND(B51="",D49&lt;&gt;"",F45=""),D18=""),HLOOKUP(B7,Daten!A24:O36,5,FALSE),""))</f>
        <v>#N/A</v>
      </c>
      <c r="G49" s="29" t="str">
        <f>IF(B7="","",IF(OR(D26=Daten!A6,D26=Daten!A8),"Ansatz nur mit gesonderten Nachweis.",IF(OR(D49=(D12-D15)*0.5%,D49='Beitragssätze und Höchstbeträge'!T12/12*D23),"0,5 % der Bruttobezüge gemäß L16, ohne Beträge", "Beitrag lt. gesondertem Nachweis.")))</f>
        <v/>
      </c>
      <c r="H49" s="6"/>
      <c r="I49" s="6"/>
      <c r="J49" s="7"/>
    </row>
    <row r="50" spans="1:11" ht="3" customHeight="1" x14ac:dyDescent="0.2">
      <c r="A50" s="5"/>
      <c r="B50" s="6"/>
      <c r="C50" s="6"/>
      <c r="D50" s="6"/>
      <c r="E50" s="6"/>
      <c r="F50" s="6"/>
      <c r="G50" s="6"/>
      <c r="H50" s="6"/>
      <c r="I50" s="6"/>
      <c r="J50" s="7"/>
    </row>
    <row r="51" spans="1:11" x14ac:dyDescent="0.2">
      <c r="A51" s="5"/>
      <c r="B51" s="25" t="str">
        <f>IF(D45&lt;&gt;"","Anteil steuerpflichtige Einkünfte","")</f>
        <v/>
      </c>
      <c r="C51" s="28" t="str">
        <f>IF(B51&lt;&gt;"",C45,"")</f>
        <v/>
      </c>
      <c r="D51" s="21" t="str">
        <f>IF(AND(D49&lt;&gt;"",B51&lt;&gt;""),D49*C45,"")</f>
        <v/>
      </c>
      <c r="E51" s="6"/>
      <c r="F51" s="33" t="str">
        <f>IF(B51&lt;&gt;"",HLOOKUP(B7,Daten!A24:O36,5,FALSE),"")</f>
        <v/>
      </c>
      <c r="G51" s="29" t="str">
        <f>IF(B7="","",IF(OR(D49="",D49&lt;&gt;'Beitragssätze und Höchstbeträge'!T18),"",IF(OR(D26=Daten!A6,D26=Daten!A8),"","nach L16 Kennziffer 220. Höchstbeitrag "&amp;TEXT('Beitragssätze und Höchstbeträge'!T12/12*Berechnung!D23,"#.##0,00 €")&amp;".")))</f>
        <v/>
      </c>
      <c r="H51" s="6"/>
      <c r="I51" s="6"/>
      <c r="J51" s="7"/>
    </row>
    <row r="52" spans="1:11" ht="3" customHeight="1" x14ac:dyDescent="0.2">
      <c r="A52" s="5"/>
      <c r="B52" s="6"/>
      <c r="C52" s="6"/>
      <c r="D52" s="6"/>
      <c r="E52" s="6"/>
      <c r="F52" s="6"/>
      <c r="G52" s="6"/>
      <c r="H52" s="6"/>
      <c r="I52" s="6"/>
      <c r="J52" s="7"/>
    </row>
    <row r="53" spans="1:11" x14ac:dyDescent="0.2">
      <c r="A53" s="8"/>
      <c r="B53" s="31" t="str">
        <f>IF(D47&lt;&gt;"","Anteil steuerfreie Einkünfte","")</f>
        <v/>
      </c>
      <c r="C53" s="40" t="str">
        <f>IF(B53&lt;&gt;"",C47,"")</f>
        <v/>
      </c>
      <c r="D53" s="32" t="str">
        <f>IF(AND(B53&lt;&gt;"",D49&lt;&gt;""),D49*C47,"")</f>
        <v/>
      </c>
      <c r="E53" s="9"/>
      <c r="F53" s="34" t="str">
        <f>IF(B53&lt;&gt;"",HLOOKUP(B7,Daten!A24:O36,6,FALSE),"")</f>
        <v/>
      </c>
      <c r="G53" s="9"/>
      <c r="H53" s="9"/>
      <c r="I53" s="9"/>
      <c r="J53" s="16"/>
    </row>
    <row r="55" spans="1:11" x14ac:dyDescent="0.2">
      <c r="A55" s="77" t="s">
        <v>15</v>
      </c>
      <c r="B55" s="78"/>
      <c r="C55" s="78"/>
      <c r="D55" s="78"/>
      <c r="E55" s="78"/>
      <c r="F55" s="78"/>
      <c r="G55" s="78"/>
      <c r="H55" s="78"/>
      <c r="I55" s="78"/>
      <c r="J55" s="78"/>
      <c r="K55" s="79"/>
    </row>
    <row r="56" spans="1:11" x14ac:dyDescent="0.2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90"/>
    </row>
    <row r="57" spans="1:11" x14ac:dyDescent="0.2">
      <c r="A57" s="36" t="str">
        <f>IF(AND(A58&lt;&gt;Daten!A14,A58&lt;&gt;Daten!A15,A58&lt;&gt;Daten!A16),"Der Nachweis von höhren Beiträgen ist möglich.","")</f>
        <v>Der Nachweis von höhren Beiträgen ist möglich.</v>
      </c>
      <c r="B57" s="6"/>
      <c r="C57" s="6"/>
      <c r="D57" s="6"/>
      <c r="E57" s="6"/>
      <c r="F57" s="6"/>
      <c r="G57" s="6"/>
      <c r="H57" s="6"/>
      <c r="I57" s="6"/>
      <c r="J57" s="6"/>
      <c r="K57" s="7"/>
    </row>
    <row r="58" spans="1:11" ht="25.5" customHeight="1" x14ac:dyDescent="0.2">
      <c r="A58" s="91" t="str">
        <f>IF(OR(D26="",D12=""),"",IF(AND(D26=Daten!A6,OR(Berechnung!D18="",Berechnung!D18=0)),Daten!A14,IF(AND(D26=Daten!A8,OR(Berechnung!D18="",Berechnung!D18=0)),Daten!A15,IF(AND(D18&lt;&gt;"",D18&lt;&gt;0,D18&lt;('Beitragssätze und Höchstbeträge'!H18+'Beitragssätze und Höchstbeträge'!N18)),Daten!A16,IF(AND(D18&lt;&gt;"",D18&lt;&gt;0,D18&gt;(D60+D70+D82)),Daten!A17,"")))))</f>
        <v/>
      </c>
      <c r="B58" s="92"/>
      <c r="C58" s="92"/>
      <c r="D58" s="92"/>
      <c r="E58" s="92"/>
      <c r="F58" s="92"/>
      <c r="G58" s="92"/>
      <c r="H58" s="92"/>
      <c r="I58" s="92"/>
      <c r="J58" s="92"/>
      <c r="K58" s="93"/>
    </row>
    <row r="59" spans="1:11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2"/>
    </row>
    <row r="60" spans="1:11" x14ac:dyDescent="0.2">
      <c r="A60" s="5" t="s">
        <v>16</v>
      </c>
      <c r="B60" s="6"/>
      <c r="C60" s="6"/>
      <c r="D60" s="38" t="str">
        <f>IF(B7="","",IF(OR(D12="",D26="",AND(D18&lt;&gt;"",D18&lt;&gt;"0",('Beitragssätze und Höchstbeträge'!H18+'Beitragssätze und Höchstbeträge'!N18)&gt;Berechnung!D18),AND(OR(D18="",D18=0),OR(D26=Daten!A6,D26=Daten!A8))),"",'Beitragssätze und Höchstbeträge'!H18))</f>
        <v/>
      </c>
      <c r="E60" s="6"/>
      <c r="F60" s="33" t="e">
        <f>IF(B62="",HLOOKUP(B7,Daten!A24:O36,8,FALSE),"")</f>
        <v>#N/A</v>
      </c>
      <c r="G60" s="30" t="str">
        <f>IF(B7="","",IF(AND(D60&lt;&gt;"",D60&lt;&gt;'Beitragssätze und Höchstbeträge'!H18),"    Beitrag lt. gesonderten Nachweis.",IF(D60='Beitragssätze und Höchstbeträge'!H18,"    10,25 % der Bruttobezüge gemäß L16. Höchstbetrag "&amp;TEXT('Beitragssätze und Höchstbeträge'!H12/12*Berechnung!D23,"#.##0,00 €")&amp;".","")))</f>
        <v/>
      </c>
      <c r="H60" s="6"/>
      <c r="I60" s="6"/>
      <c r="J60" s="6"/>
      <c r="K60" s="7"/>
    </row>
    <row r="61" spans="1:11" ht="3" customHeight="1" x14ac:dyDescent="0.2">
      <c r="A61" s="5"/>
      <c r="B61" s="6"/>
      <c r="C61" s="6"/>
      <c r="D61" s="6"/>
      <c r="E61" s="6"/>
      <c r="F61" s="6"/>
      <c r="G61" s="6"/>
      <c r="H61" s="6"/>
      <c r="I61" s="6"/>
      <c r="J61" s="6"/>
      <c r="K61" s="7"/>
    </row>
    <row r="62" spans="1:11" x14ac:dyDescent="0.2">
      <c r="A62" s="5"/>
      <c r="B62" s="25" t="str">
        <f>IF(D47&lt;&gt;"","davon abzugsfähig","")</f>
        <v/>
      </c>
      <c r="C62" s="28" t="str">
        <f>IF(B62&lt;&gt;"",C45,"")</f>
        <v/>
      </c>
      <c r="D62" s="41" t="str">
        <f>IF(AND(B62&lt;&gt;"",D60&lt;&gt;""),D60*C62,"")</f>
        <v/>
      </c>
      <c r="E62" s="6"/>
      <c r="F62" s="30" t="str">
        <f>IF(B62&lt;&gt;"",HLOOKUP(B7,Daten!A24:O36,8,FALSE),"")</f>
        <v/>
      </c>
      <c r="G62" s="6"/>
      <c r="H62" s="6"/>
      <c r="I62" s="6"/>
      <c r="J62" s="6"/>
      <c r="K62" s="7"/>
    </row>
    <row r="63" spans="1:11" ht="3" customHeight="1" x14ac:dyDescent="0.2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2"/>
    </row>
    <row r="64" spans="1:11" ht="3" customHeight="1" x14ac:dyDescent="0.2">
      <c r="A64" s="5"/>
      <c r="B64" s="6"/>
      <c r="C64" s="6"/>
      <c r="D64" s="6"/>
      <c r="E64" s="6"/>
      <c r="F64" s="6"/>
      <c r="G64" s="6"/>
      <c r="H64" s="6"/>
      <c r="I64" s="6"/>
      <c r="J64" s="6"/>
      <c r="K64" s="7"/>
    </row>
    <row r="65" spans="1:11" x14ac:dyDescent="0.2">
      <c r="A65" s="5" t="s">
        <v>17</v>
      </c>
      <c r="B65" s="6"/>
      <c r="C65" s="6"/>
      <c r="D65" s="37" t="str">
        <f>IF(B7="","",IF(OR(D12="",D26="",AND(D18&lt;&gt;"",D18&lt;&gt;"0",('Beitragssätze und Höchstbeträge'!H18+'Beitragssätze und Höchstbeträge'!N18)&gt;Berechnung!D18),AND(OR(D18="",D18=0),OR(D26=Daten!A6,D26=Daten!A8))),"",'Beitragssätze und Höchstbeträge'!K18))</f>
        <v/>
      </c>
      <c r="E65" s="6"/>
      <c r="F65" s="33" t="e">
        <f>IF(B67="",HLOOKUP(B7,Daten!A24:O36,9,FALSE),"")</f>
        <v>#N/A</v>
      </c>
      <c r="G65" s="30" t="str">
        <f>IF(B7="","",IF(AND(D65&lt;&gt;"",D65&lt;&gt;'Beitragssätze und Höchstbeträge'!K18),"    Beitrag lt. gesonderten Nachweis.",IF(D65='Beitragssätze und Höchstbeträge'!K18,"    12,55 % der Bruttobezüge gemäß L16. Höchstbetrag "&amp;TEXT('Beitragssätze und Höchstbeträge'!K12/12*Berechnung!D23,"#.##0,00 €")&amp;".","")))</f>
        <v/>
      </c>
      <c r="H65" s="6"/>
      <c r="I65" s="6"/>
      <c r="J65" s="6"/>
      <c r="K65" s="7"/>
    </row>
    <row r="66" spans="1:11" ht="3" customHeight="1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7"/>
    </row>
    <row r="67" spans="1:11" x14ac:dyDescent="0.2">
      <c r="A67" s="5"/>
      <c r="B67" s="25" t="str">
        <f>IF(D47&lt;&gt;"","davon zu berücksichtigen","")</f>
        <v/>
      </c>
      <c r="C67" s="28" t="str">
        <f>IF(B67&lt;&gt;"",C45,"")</f>
        <v/>
      </c>
      <c r="D67" s="41" t="str">
        <f>IF(AND(B67&lt;&gt;"",D65&lt;&gt;""),D65*C67,"")</f>
        <v/>
      </c>
      <c r="E67" s="6"/>
      <c r="F67" s="30" t="str">
        <f>IF(B67&lt;&gt;"",HLOOKUP(B7,Daten!A24:O36,9,FALSE),"")</f>
        <v/>
      </c>
      <c r="G67" s="6"/>
      <c r="H67" s="6"/>
      <c r="I67" s="6"/>
      <c r="J67" s="6"/>
      <c r="K67" s="7"/>
    </row>
    <row r="68" spans="1:11" ht="3" customHeight="1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2"/>
    </row>
    <row r="69" spans="1:11" ht="3" customHeight="1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7"/>
    </row>
    <row r="70" spans="1:11" x14ac:dyDescent="0.2">
      <c r="A70" s="5" t="s">
        <v>18</v>
      </c>
      <c r="B70" s="6"/>
      <c r="C70" s="6"/>
      <c r="D70" s="37" t="str">
        <f>IF(B7="","",IF(OR(D12="",D26="",AND(D18&lt;&gt;"",D18&lt;&gt;"0",('Beitragssätze und Höchstbeträge'!H18+'Beitragssätze und Höchstbeträge'!N18)&gt;Berechnung!D18),AND(OR(D18="",D18=0),OR(D26=Daten!A6,D26=Daten!A8))),"",'Beitragssätze und Höchstbeträge'!N18))</f>
        <v/>
      </c>
      <c r="E70" s="6"/>
      <c r="F70" s="33" t="e">
        <f>IF(B72="",HLOOKUP(B7,Daten!A24:O36,10,FALSE),"")</f>
        <v>#N/A</v>
      </c>
      <c r="G70" s="29" t="str">
        <f>IF(B7="","",IF(AND(D70&lt;&gt;"",D70&lt;&gt;'Beitragssätze und Höchstbeträge'!N18),"    Beitrag lt. gesonderten Nachweis.",IF(D70='Beitragssätze und Höchstbeträge'!N18,"    3,87 % der Bruttobezüge gemäß L16. Höchstbetrag "&amp;TEXT('Beitragssätze und Höchstbeträge'!N12/12*Berechnung!D23,"#.##0,00 €")&amp;".","")))</f>
        <v/>
      </c>
      <c r="H70" s="6"/>
      <c r="I70" s="6"/>
      <c r="J70" s="6"/>
      <c r="K70" s="7"/>
    </row>
    <row r="71" spans="1:11" ht="3" customHeight="1" x14ac:dyDescent="0.2">
      <c r="A71" s="5"/>
      <c r="B71" s="6"/>
      <c r="C71" s="6"/>
      <c r="D71" s="6"/>
      <c r="E71" s="6"/>
      <c r="F71" s="6"/>
      <c r="G71" s="6"/>
      <c r="H71" s="6"/>
      <c r="I71" s="6"/>
      <c r="J71" s="6"/>
      <c r="K71" s="7"/>
    </row>
    <row r="72" spans="1:11" x14ac:dyDescent="0.2">
      <c r="A72" s="5"/>
      <c r="B72" s="25" t="str">
        <f>IF(D47&lt;&gt;"","davon abzugsfähig","")</f>
        <v/>
      </c>
      <c r="C72" s="28" t="str">
        <f>IF(B72&lt;&gt;"",C45,"")</f>
        <v/>
      </c>
      <c r="D72" s="41" t="str">
        <f>IF(AND(B72&lt;&gt;"",D70&lt;&gt;""),D70*C72,"")</f>
        <v/>
      </c>
      <c r="E72" s="6"/>
      <c r="F72" s="30" t="str">
        <f>IF(B72&lt;&gt;"",HLOOKUP(B7,Daten!A24:O36,10,FALSE),"")</f>
        <v/>
      </c>
      <c r="G72" s="6"/>
      <c r="H72" s="6"/>
      <c r="I72" s="6"/>
      <c r="J72" s="6"/>
      <c r="K72" s="7"/>
    </row>
    <row r="73" spans="1:11" ht="3" customHeight="1" x14ac:dyDescent="0.2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2"/>
    </row>
    <row r="74" spans="1:11" ht="3" customHeight="1" x14ac:dyDescent="0.2">
      <c r="A74" s="5"/>
      <c r="B74" s="6"/>
      <c r="C74" s="6"/>
      <c r="D74" s="6"/>
      <c r="E74" s="6"/>
      <c r="F74" s="6"/>
      <c r="G74" s="6"/>
      <c r="H74" s="6"/>
      <c r="I74" s="6"/>
      <c r="J74" s="6"/>
      <c r="K74" s="7"/>
    </row>
    <row r="75" spans="1:11" x14ac:dyDescent="0.2">
      <c r="A75" s="5" t="s">
        <v>19</v>
      </c>
      <c r="B75" s="6"/>
      <c r="C75" s="6"/>
      <c r="D75" s="39" t="s">
        <v>20</v>
      </c>
      <c r="E75" s="6"/>
      <c r="F75" s="33" t="e">
        <f>HLOOKUP(B7,Daten!A24:O36,11,FALSE)</f>
        <v>#N/A</v>
      </c>
      <c r="G75" s="29" t="s">
        <v>62</v>
      </c>
      <c r="H75" s="6"/>
      <c r="I75" s="6"/>
      <c r="J75" s="6"/>
      <c r="K75" s="7"/>
    </row>
    <row r="76" spans="1:11" ht="3" customHeight="1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3" customHeight="1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7"/>
    </row>
    <row r="78" spans="1:11" ht="14.25" customHeight="1" x14ac:dyDescent="0.2">
      <c r="A78" s="5" t="s">
        <v>21</v>
      </c>
      <c r="B78" s="6"/>
      <c r="C78" s="6"/>
      <c r="D78" s="26"/>
      <c r="E78" s="6"/>
      <c r="F78" s="98" t="e">
        <f>HLOOKUP(B7,Daten!A24:O36,12,FALSE)</f>
        <v>#N/A</v>
      </c>
      <c r="G78" s="94" t="str">
        <f>IF(AND(D47&lt;&gt;"",D47&lt;&gt;0),"    Beitrag lt. gesonderten Nachweis. Keine Kürzung wegen steuerfreien
    Arbeitslohn nach DBA, da keine Pflichtbeiträge.","    Beitrag lt. gesonderten Nachweis.")</f>
        <v xml:space="preserve">    Beitrag lt. gesonderten Nachweis.</v>
      </c>
      <c r="H78" s="94"/>
      <c r="I78" s="94"/>
      <c r="J78" s="94"/>
      <c r="K78" s="74"/>
    </row>
    <row r="79" spans="1:11" x14ac:dyDescent="0.2">
      <c r="A79" s="5"/>
      <c r="B79" s="6"/>
      <c r="C79" s="6"/>
      <c r="D79" s="6"/>
      <c r="E79" s="6"/>
      <c r="F79" s="98"/>
      <c r="G79" s="94"/>
      <c r="H79" s="94"/>
      <c r="I79" s="94"/>
      <c r="J79" s="94"/>
      <c r="K79" s="74"/>
    </row>
    <row r="80" spans="1:11" ht="3" customHeight="1" x14ac:dyDescent="0.2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3" customHeight="1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7"/>
    </row>
    <row r="82" spans="1:11" x14ac:dyDescent="0.2">
      <c r="A82" s="5" t="s">
        <v>22</v>
      </c>
      <c r="B82" s="6"/>
      <c r="C82" s="6"/>
      <c r="D82" s="37" t="str">
        <f>IF(B7="","",IF(OR(D12="",D26="",AND(D18&lt;&gt;"",D18&lt;&gt;"0",('Beitragssätze und Höchstbeträge'!H18+'Beitragssätze und Höchstbeträge'!N18)&gt;Berechnung!D18),AND(OR(D18="",D18=0),OR(D26=Daten!A6,D26=Daten!A8))),"",IF(AND(D18&lt;&gt;"",D18&lt;&gt;0,OR(D26=Daten!A6,Daten!A8),Berechnung!D18&lt;('Beitragssätze und Höchstbeträge'!H16+'Beitragssätze und Höchstbeträge'!N16+'Beitragssätze und Höchstbeträge'!Q16)),D18-'Beitragssätze und Höchstbeträge'!H18-'Beitragssätze und Höchstbeträge'!N18,IF(AND(D18&lt;&gt;"",D18&lt;&gt;0,D18&lt;('Beitragssätze und Höchstbeträge'!H18+'Beitragssätze und Höchstbeträge'!N18+'Beitragssätze und Höchstbeträge'!Q18+'Beitragssätze und Höchstbeträge'!T18)),D18-'Beitragssätze und Höchstbeträge'!H18-'Beitragssätze und Höchstbeträge'!N18-'Beitragssätze und Höchstbeträge'!T18,'Beitragssätze und Höchstbeträge'!Q18))))</f>
        <v/>
      </c>
      <c r="E82" s="6"/>
      <c r="F82" s="33" t="e">
        <f>IF(B84="",HLOOKUP(B7,Daten!A24:O36,13,FALSE),"")</f>
        <v>#N/A</v>
      </c>
      <c r="G82" s="29" t="str">
        <f>IF(B7="","",IF(OR(D82=D18-'Beitragssätze und Höchstbeträge'!H18-'Beitragssätze und Höchstbeträge'!N18-'Beitragssätze und Höchstbeträge'!T18,D82=D18-'Beitragssätze und Höchstbeträge'!H18-'Beitragssätze und Höchstbeträge'!N18),"    Noch verbleibender Betrag der tatsächlichen SozV-Beiträge.",IF(AND(D82&lt;&gt;"",D82&lt;&gt;'Beitragssätze und Höchstbeträge'!Q18),"    Beitrag lt. gesonderten Nachweis.",IF(D82='Beitragssätze und Höchstbeträge'!Q18,"    3 % der Bruttobezüge gemäß L16. Höchstbetrag "&amp;TEXT('Beitragssätze und Höchstbeträge'!Q12/12*Berechnung!D23,"#.##0,00 €")&amp;".",""))))</f>
        <v/>
      </c>
      <c r="H82" s="6"/>
      <c r="I82" s="6"/>
      <c r="J82" s="6"/>
      <c r="K82" s="7"/>
    </row>
    <row r="83" spans="1:11" ht="3" customHeight="1" x14ac:dyDescent="0.2">
      <c r="A83" s="5"/>
      <c r="B83" s="6"/>
      <c r="C83" s="6"/>
      <c r="D83" s="6"/>
      <c r="E83" s="6"/>
      <c r="F83" s="6">
        <v>0</v>
      </c>
      <c r="G83" s="6"/>
      <c r="H83" s="6"/>
      <c r="I83" s="6"/>
      <c r="J83" s="6"/>
      <c r="K83" s="7"/>
    </row>
    <row r="84" spans="1:11" x14ac:dyDescent="0.2">
      <c r="A84" s="5"/>
      <c r="B84" s="25" t="str">
        <f>IF(D47&lt;&gt;"","davon abzugsfähig","")</f>
        <v/>
      </c>
      <c r="C84" s="28" t="str">
        <f>IF(B84&lt;&gt;"",C45,"")</f>
        <v/>
      </c>
      <c r="D84" s="41" t="str">
        <f>IF(AND(B84&lt;&gt;"",D82&lt;&gt;""),D82*C84,"")</f>
        <v/>
      </c>
      <c r="E84" s="6"/>
      <c r="F84" s="30" t="str">
        <f>IF(B84&lt;&gt;"","Anlage Vorsorgaufw. Zeile 45","")</f>
        <v/>
      </c>
      <c r="G84" s="6"/>
      <c r="H84" s="6"/>
      <c r="I84" s="6"/>
      <c r="J84" s="6"/>
      <c r="K84" s="7"/>
    </row>
    <row r="85" spans="1:11" ht="3" customHeight="1" x14ac:dyDescent="0.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3" customHeight="1" x14ac:dyDescent="0.2">
      <c r="A86" s="5"/>
      <c r="B86" s="6"/>
      <c r="C86" s="6"/>
      <c r="D86" s="6"/>
      <c r="E86" s="6"/>
      <c r="F86" s="6"/>
      <c r="G86" s="6"/>
      <c r="H86" s="6"/>
      <c r="I86" s="6"/>
      <c r="J86" s="6"/>
      <c r="K86" s="7"/>
    </row>
    <row r="87" spans="1:11" x14ac:dyDescent="0.2">
      <c r="A87" s="91" t="str">
        <f>IF(AND(D47&lt;&gt;"",D47&lt;&gt;0),Daten!A18,"")</f>
        <v/>
      </c>
      <c r="B87" s="92"/>
      <c r="C87" s="92"/>
      <c r="D87" s="92"/>
      <c r="E87" s="92"/>
      <c r="F87" s="92"/>
      <c r="G87" s="92"/>
      <c r="H87" s="92"/>
      <c r="I87" s="92"/>
      <c r="J87" s="92"/>
      <c r="K87" s="93"/>
    </row>
    <row r="88" spans="1:11" x14ac:dyDescent="0.2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3"/>
    </row>
    <row r="89" spans="1:11" ht="3" customHeight="1" x14ac:dyDescent="0.2">
      <c r="A89" s="8"/>
      <c r="B89" s="9"/>
      <c r="C89" s="9"/>
      <c r="D89" s="9"/>
      <c r="E89" s="9"/>
      <c r="F89" s="9"/>
      <c r="G89" s="9"/>
      <c r="H89" s="9"/>
      <c r="I89" s="9"/>
      <c r="J89" s="9"/>
      <c r="K89" s="16"/>
    </row>
    <row r="91" spans="1:11" ht="15.75" x14ac:dyDescent="0.25">
      <c r="A91" s="42" t="s">
        <v>63</v>
      </c>
      <c r="B91" s="43"/>
      <c r="C91" s="43"/>
      <c r="D91" s="43"/>
      <c r="E91" s="43"/>
      <c r="F91" s="43"/>
      <c r="G91" s="43"/>
      <c r="H91" s="43"/>
      <c r="I91" s="43"/>
      <c r="J91" s="43"/>
      <c r="K91" s="44"/>
    </row>
    <row r="92" spans="1:11" ht="60.75" customHeight="1" x14ac:dyDescent="0.2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7"/>
    </row>
    <row r="94" spans="1:11" x14ac:dyDescent="0.2">
      <c r="A94" s="48" t="s">
        <v>93</v>
      </c>
    </row>
    <row r="97" spans="2:2" x14ac:dyDescent="0.2">
      <c r="B97" s="67"/>
    </row>
  </sheetData>
  <sheetProtection algorithmName="SHA-512" hashValue="+jJ2oVgKTMPURxV12r4Ny+wCge8uUmPvxAWv39nZEauCFq4pwIhuC+oRKPvTTrj5tDGGJwjwmMRygXHaJIavmQ==" saltValue="AaF+P/jNgI0Q5jEzs+a1SQ==" spinCount="100000" sheet="1" formatRows="0" selectLockedCells="1"/>
  <mergeCells count="13">
    <mergeCell ref="A55:K56"/>
    <mergeCell ref="A58:K58"/>
    <mergeCell ref="A87:K88"/>
    <mergeCell ref="G78:K79"/>
    <mergeCell ref="A92:K92"/>
    <mergeCell ref="F78:F79"/>
    <mergeCell ref="A1:K1"/>
    <mergeCell ref="F37:J38"/>
    <mergeCell ref="A9:D10"/>
    <mergeCell ref="A20:G21"/>
    <mergeCell ref="D26:G26"/>
    <mergeCell ref="A28:G28"/>
    <mergeCell ref="A31:J32"/>
  </mergeCells>
  <conditionalFormatting sqref="D37">
    <cfRule type="expression" dxfId="30" priority="35">
      <formula>AND($D$37&lt;&gt;"",$D$37&lt;&gt;$D$12*1.53/100)</formula>
    </cfRule>
  </conditionalFormatting>
  <conditionalFormatting sqref="D45">
    <cfRule type="expression" dxfId="29" priority="33">
      <formula>B45=""</formula>
    </cfRule>
  </conditionalFormatting>
  <conditionalFormatting sqref="F45">
    <cfRule type="expression" dxfId="28" priority="31">
      <formula>$B$45=""</formula>
    </cfRule>
    <cfRule type="expression" dxfId="27" priority="32">
      <formula>$F$45&lt;&gt;""</formula>
    </cfRule>
  </conditionalFormatting>
  <conditionalFormatting sqref="F47">
    <cfRule type="expression" dxfId="26" priority="30">
      <formula>$F$45&lt;&gt;""</formula>
    </cfRule>
  </conditionalFormatting>
  <conditionalFormatting sqref="F43">
    <cfRule type="expression" dxfId="25" priority="28">
      <formula>$F$43&lt;&gt;""</formula>
    </cfRule>
  </conditionalFormatting>
  <conditionalFormatting sqref="F51">
    <cfRule type="expression" dxfId="24" priority="27">
      <formula>$F$51&lt;&gt;""</formula>
    </cfRule>
  </conditionalFormatting>
  <conditionalFormatting sqref="F53">
    <cfRule type="expression" dxfId="23" priority="26">
      <formula>$F$53&lt;&gt;""</formula>
    </cfRule>
  </conditionalFormatting>
  <conditionalFormatting sqref="F49">
    <cfRule type="expression" dxfId="22" priority="25">
      <formula>$F$49&lt;&gt;""</formula>
    </cfRule>
  </conditionalFormatting>
  <conditionalFormatting sqref="F60">
    <cfRule type="expression" dxfId="21" priority="22">
      <formula>$F$60&lt;&gt;""</formula>
    </cfRule>
  </conditionalFormatting>
  <conditionalFormatting sqref="F65">
    <cfRule type="expression" dxfId="20" priority="19">
      <formula>$F$65&lt;&gt;""</formula>
    </cfRule>
  </conditionalFormatting>
  <conditionalFormatting sqref="F70">
    <cfRule type="expression" dxfId="19" priority="18">
      <formula>$F$70&lt;&gt;""</formula>
    </cfRule>
  </conditionalFormatting>
  <conditionalFormatting sqref="F75">
    <cfRule type="expression" dxfId="18" priority="15">
      <formula>$F$75&lt;&gt;""</formula>
    </cfRule>
  </conditionalFormatting>
  <conditionalFormatting sqref="F82">
    <cfRule type="expression" dxfId="17" priority="12">
      <formula>$F$82&lt;&gt;""</formula>
    </cfRule>
  </conditionalFormatting>
  <conditionalFormatting sqref="F62">
    <cfRule type="expression" dxfId="16" priority="9">
      <formula>$F$62&lt;&gt;""</formula>
    </cfRule>
  </conditionalFormatting>
  <conditionalFormatting sqref="F67">
    <cfRule type="expression" dxfId="15" priority="8">
      <formula>$F$67&lt;&gt;""</formula>
    </cfRule>
  </conditionalFormatting>
  <conditionalFormatting sqref="F72">
    <cfRule type="expression" dxfId="14" priority="7">
      <formula>$F$72&lt;&gt;""</formula>
    </cfRule>
  </conditionalFormatting>
  <conditionalFormatting sqref="F84">
    <cfRule type="expression" dxfId="13" priority="6">
      <formula>$F$84&lt;&gt;""</formula>
    </cfRule>
  </conditionalFormatting>
  <conditionalFormatting sqref="A34:J53 A57:K88">
    <cfRule type="expression" dxfId="12" priority="2">
      <formula>OR($B$3="",$B$5="",$B$7="",$D$12="",$D$15="",$D$23="",$D$26="")</formula>
    </cfRule>
  </conditionalFormatting>
  <conditionalFormatting sqref="A57:K78 A80:K89 A79:E79 G79:K79">
    <cfRule type="expression" dxfId="11" priority="1">
      <formula>$F$45="◀ bitte Eingabe löschen"</formula>
    </cfRule>
  </conditionalFormatting>
  <dataValidations count="4">
    <dataValidation type="list" allowBlank="1" showInputMessage="1" showErrorMessage="1" sqref="B7">
      <formula1>"2023, 2022, 2021, 2020, 2019, 2018"</formula1>
    </dataValidation>
    <dataValidation type="decimal" allowBlank="1" showInputMessage="1" showErrorMessage="1" error="Der eingegebene Wert übersteigt die Bruttobezüge." promptTitle="In L16:" prompt="Unverkennzifferte Zeile oberhalb des Feldes mit Kennzahl 225." sqref="D18">
      <formula1>0</formula1>
      <formula2>D12</formula2>
    </dataValidation>
    <dataValidation type="decimal" allowBlank="1" showInputMessage="1" showErrorMessage="1" error="Der Eingegebene Betrag übersteigt die Bruttobezüge. " sqref="D15">
      <formula1>-1000000</formula1>
      <formula2>D12</formula2>
    </dataValidation>
    <dataValidation type="list" allowBlank="1" showInputMessage="1" showErrorMessage="1" sqref="D23">
      <formula1>"12,11,10,9,8,7,6,5,4,3,2,1"</formula1>
    </dataValidation>
  </dataValidations>
  <pageMargins left="0.7" right="0.7" top="0.78740157499999996" bottom="0.78740157499999996" header="0.3" footer="0.3"/>
  <pageSetup paperSize="9" scale="78" orientation="landscape" r:id="rId1"/>
  <rowBreaks count="1" manualBreakCount="1">
    <brk id="53" max="16383" man="1"/>
  </rowBreaks>
  <colBreaks count="1" manualBreakCount="1">
    <brk id="11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D91184B7-7E27-4B3D-BB98-E8A287921DC8}">
            <xm:f>AND(OR(D26=Daten!A6,D26=Daten!A8),OR(D18="",D18=0))</xm:f>
            <x14:dxf>
              <fill>
                <patternFill>
                  <bgColor theme="0" tint="-4.9989318521683403E-2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23" id="{84451FB3-04FE-4777-AC7D-0341333C648A}">
            <xm:f>AND($D$60&lt;&gt;"",$D$60&lt;&gt;$D$12*10.25/100,$D$60&lt;&gt;'Beitragssätze und Höchstbeträge'!$H$12/12*$D$23)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24" id="{413C1D07-54DE-4666-AAF7-FBE7F3098C7F}">
            <xm:f>OR(A58=Daten!$A$14,A58=Daten!$A$15,A58=Daten!$A$16)</xm:f>
            <x14:dxf>
              <fill>
                <patternFill>
                  <bgColor theme="0" tint="-4.9989318521683403E-2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expression" priority="20" id="{5E49F723-F632-4FF1-AEC8-E808EF0B74A8}">
            <xm:f>OR(A58=Daten!$A$14,A58=Daten!$A$15,A58=Daten!$A$16)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21" id="{5E6A44FB-CD35-404A-81BD-E856FC8A783C}">
            <xm:f>AND($D$65&lt;&gt;"",$D$65&lt;&gt;'Beitragssätze und Höchstbeträge'!$K$18)</xm:f>
            <x14:dxf>
              <fill>
                <patternFill>
                  <bgColor theme="0" tint="-4.9989318521683403E-2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expression" priority="16" id="{E7CA1B04-AE83-439B-8608-C6D09881BEC9}">
            <xm:f>OR(A58=Daten!$A$14,A58=Daten!$A$15,A58=Daten!$A$16)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17" id="{AA7FBA10-FEE0-4741-A4EE-FB5A837FAE54}">
            <xm:f>AND($D$70&lt;&gt;"",$D$70&lt;&gt;'Beitragssätze und Höchstbeträge'!$N$18)</xm:f>
            <x14:dxf>
              <fill>
                <patternFill>
                  <bgColor theme="0" tint="-4.9989318521683403E-2"/>
                </patternFill>
              </fill>
            </x14:dxf>
          </x14:cfRule>
          <xm:sqref>D70</xm:sqref>
        </x14:conditionalFormatting>
        <x14:conditionalFormatting xmlns:xm="http://schemas.microsoft.com/office/excel/2006/main">
          <x14:cfRule type="expression" priority="10" id="{FAB33EE7-3DAF-4E45-9DE1-DE2455A40630}">
            <xm:f>AND($D$82&lt;&gt;"",$D$82&lt;&gt;'Beitragssätze und Höchstbeträge'!$Q$18,D82&lt;&gt;D18-'Beitragssätze und Höchstbeträge'!H18-'Beitragssätze und Höchstbeträge'!N18-'Beitragssätze und Höchstbeträge'!T18)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11" id="{08E6A2F7-47DB-4DCE-A75B-1109DF4E8206}">
            <xm:f>OR(A58=Daten!$A$14,A58=Daten!$A$15,A58=Daten!$A$16)</xm:f>
            <x14:dxf>
              <fill>
                <patternFill>
                  <bgColor theme="0" tint="-4.9989318521683403E-2"/>
                </patternFill>
              </fill>
            </x14:dxf>
          </x14:cfRule>
          <xm:sqref>D82</xm:sqref>
        </x14:conditionalFormatting>
        <x14:conditionalFormatting xmlns:xm="http://schemas.microsoft.com/office/excel/2006/main">
          <x14:cfRule type="expression" priority="4" id="{4E6CFBA2-59A4-4149-B885-E4C226AD8C2E}">
            <xm:f>AND($D$49&lt;&gt;"",$D$49&lt;&gt;'Beitragssätze und Höchstbeträge'!$T$18)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5" id="{A85BA200-649D-463D-BFDD-7C114C9B333A}">
            <xm:f>OR($D$26=Daten!$A$6,$D$25=Daten!$A$8)</xm:f>
            <x14:dxf>
              <fill>
                <patternFill>
                  <bgColor theme="0" tint="-4.9989318521683403E-2"/>
                </patternFill>
              </fill>
            </x14:dxf>
          </x14:cfRule>
          <xm:sqref>D49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Daten!$A$3:$A$8</xm:f>
          </x14:formula1>
          <xm:sqref>D26:G26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showGridLines="0" zoomScale="90" zoomScaleNormal="90" workbookViewId="0"/>
  </sheetViews>
  <sheetFormatPr baseColWidth="10" defaultRowHeight="14.25" x14ac:dyDescent="0.2"/>
  <cols>
    <col min="1" max="1" width="27.875" bestFit="1" customWidth="1"/>
    <col min="3" max="4" width="25.625" customWidth="1"/>
    <col min="5" max="5" width="8.125" customWidth="1"/>
    <col min="7" max="8" width="12.875" customWidth="1"/>
    <col min="9" max="9" width="2.125" customWidth="1"/>
    <col min="10" max="11" width="12.875" customWidth="1"/>
    <col min="12" max="12" width="2.125" customWidth="1"/>
    <col min="13" max="14" width="12.875" customWidth="1"/>
    <col min="15" max="15" width="2.125" customWidth="1"/>
    <col min="16" max="17" width="12.875" customWidth="1"/>
    <col min="18" max="18" width="2.125" customWidth="1"/>
    <col min="19" max="20" width="12.875" customWidth="1"/>
  </cols>
  <sheetData>
    <row r="2" spans="1:20" s="50" customFormat="1" ht="44.25" customHeight="1" x14ac:dyDescent="0.2">
      <c r="C2" s="100" t="s">
        <v>23</v>
      </c>
      <c r="D2" s="102" t="s">
        <v>24</v>
      </c>
      <c r="G2" s="99" t="s">
        <v>25</v>
      </c>
      <c r="H2" s="99"/>
      <c r="J2" s="99" t="s">
        <v>26</v>
      </c>
      <c r="K2" s="99"/>
      <c r="M2" s="99" t="s">
        <v>27</v>
      </c>
      <c r="N2" s="99"/>
      <c r="P2" s="99" t="s">
        <v>28</v>
      </c>
      <c r="Q2" s="99"/>
      <c r="S2" s="99" t="s">
        <v>29</v>
      </c>
      <c r="T2" s="99"/>
    </row>
    <row r="3" spans="1:20" ht="15" x14ac:dyDescent="0.2">
      <c r="C3" s="101"/>
      <c r="D3" s="103"/>
      <c r="G3" s="60" t="s">
        <v>30</v>
      </c>
      <c r="H3" s="60" t="s">
        <v>31</v>
      </c>
      <c r="I3" s="49"/>
      <c r="J3" s="60" t="s">
        <v>30</v>
      </c>
      <c r="K3" s="60" t="s">
        <v>31</v>
      </c>
      <c r="L3" s="49"/>
      <c r="M3" s="60" t="s">
        <v>30</v>
      </c>
      <c r="N3" s="60" t="s">
        <v>31</v>
      </c>
      <c r="O3" s="49"/>
      <c r="P3" s="60" t="s">
        <v>30</v>
      </c>
      <c r="Q3" s="60" t="s">
        <v>31</v>
      </c>
      <c r="R3" s="49"/>
      <c r="S3" s="60" t="s">
        <v>30</v>
      </c>
      <c r="T3" s="60" t="s">
        <v>31</v>
      </c>
    </row>
    <row r="4" spans="1:20" ht="15" x14ac:dyDescent="0.25">
      <c r="B4" s="51">
        <v>2018</v>
      </c>
      <c r="C4" s="52">
        <v>71820</v>
      </c>
      <c r="D4" s="52">
        <v>61560</v>
      </c>
      <c r="F4" s="51">
        <v>2018</v>
      </c>
      <c r="G4" s="61">
        <v>0.10249999999999999</v>
      </c>
      <c r="H4" s="52">
        <v>7361.55</v>
      </c>
      <c r="J4" s="61">
        <v>0.1255</v>
      </c>
      <c r="K4" s="52">
        <v>9013.41</v>
      </c>
      <c r="M4" s="61">
        <v>3.8699999999999998E-2</v>
      </c>
      <c r="N4" s="52">
        <v>2779.43</v>
      </c>
      <c r="P4" s="61">
        <v>0.03</v>
      </c>
      <c r="Q4" s="52">
        <v>2154.6</v>
      </c>
      <c r="S4" s="61">
        <v>5.0000000000000001E-3</v>
      </c>
      <c r="T4" s="52">
        <v>307.8</v>
      </c>
    </row>
    <row r="5" spans="1:20" ht="15" x14ac:dyDescent="0.25">
      <c r="B5" s="51">
        <v>2019</v>
      </c>
      <c r="C5" s="52">
        <v>73080</v>
      </c>
      <c r="D5" s="52">
        <v>62640</v>
      </c>
      <c r="F5" s="51">
        <v>2019</v>
      </c>
      <c r="G5" s="61">
        <v>0.10249999999999999</v>
      </c>
      <c r="H5" s="52">
        <v>7490.7</v>
      </c>
      <c r="J5" s="61">
        <v>0.1255</v>
      </c>
      <c r="K5" s="52">
        <v>9171.5400000000009</v>
      </c>
      <c r="M5" s="61">
        <v>3.8699999999999998E-2</v>
      </c>
      <c r="N5" s="52">
        <v>2828.2</v>
      </c>
      <c r="P5" s="61">
        <v>0.03</v>
      </c>
      <c r="Q5" s="52">
        <v>2192.4</v>
      </c>
      <c r="S5" s="61">
        <v>5.0000000000000001E-3</v>
      </c>
      <c r="T5" s="52">
        <v>313.2</v>
      </c>
    </row>
    <row r="6" spans="1:20" ht="15" x14ac:dyDescent="0.25">
      <c r="B6" s="51">
        <v>2020</v>
      </c>
      <c r="C6" s="52">
        <v>75180</v>
      </c>
      <c r="D6" s="52">
        <v>64440</v>
      </c>
      <c r="F6" s="51">
        <v>2020</v>
      </c>
      <c r="G6" s="61">
        <v>0.10249999999999999</v>
      </c>
      <c r="H6" s="52">
        <v>7705.95</v>
      </c>
      <c r="J6" s="61">
        <v>0.1255</v>
      </c>
      <c r="K6" s="52">
        <v>9435.09</v>
      </c>
      <c r="M6" s="61">
        <v>3.8699999999999998E-2</v>
      </c>
      <c r="N6" s="52">
        <v>2909.47</v>
      </c>
      <c r="P6" s="61">
        <v>0.03</v>
      </c>
      <c r="Q6" s="52">
        <v>2255.4</v>
      </c>
      <c r="S6" s="61">
        <v>5.0000000000000001E-3</v>
      </c>
      <c r="T6" s="52">
        <v>322.2</v>
      </c>
    </row>
    <row r="7" spans="1:20" ht="15" x14ac:dyDescent="0.25">
      <c r="B7" s="51">
        <v>2021</v>
      </c>
      <c r="C7" s="52">
        <v>77700</v>
      </c>
      <c r="D7" s="52">
        <v>66600</v>
      </c>
      <c r="F7" s="51">
        <v>2021</v>
      </c>
      <c r="G7" s="61">
        <v>0.10249999999999999</v>
      </c>
      <c r="H7" s="52">
        <v>7964.25</v>
      </c>
      <c r="J7" s="61">
        <v>0.1255</v>
      </c>
      <c r="K7" s="52">
        <v>9751.35</v>
      </c>
      <c r="M7" s="61">
        <v>3.8699999999999998E-2</v>
      </c>
      <c r="N7" s="52">
        <v>3006.99</v>
      </c>
      <c r="P7" s="61">
        <v>0.03</v>
      </c>
      <c r="Q7" s="52">
        <v>2331</v>
      </c>
      <c r="S7" s="61">
        <v>5.0000000000000001E-3</v>
      </c>
      <c r="T7" s="52">
        <v>333</v>
      </c>
    </row>
    <row r="8" spans="1:20" ht="15" x14ac:dyDescent="0.25">
      <c r="B8" s="51">
        <v>2022</v>
      </c>
      <c r="C8" s="52">
        <v>79380</v>
      </c>
      <c r="D8" s="52">
        <v>68040</v>
      </c>
      <c r="F8" s="51">
        <v>2022</v>
      </c>
      <c r="G8" s="61">
        <v>0.10249999999999999</v>
      </c>
      <c r="H8" s="52">
        <v>8136.45</v>
      </c>
      <c r="J8" s="61">
        <v>0.1255</v>
      </c>
      <c r="K8" s="52">
        <v>9962.19</v>
      </c>
      <c r="M8" s="61">
        <v>3.8699999999999998E-2</v>
      </c>
      <c r="N8" s="52">
        <v>3072.01</v>
      </c>
      <c r="P8" s="61">
        <v>0.03</v>
      </c>
      <c r="Q8" s="52">
        <v>2381.4</v>
      </c>
      <c r="S8" s="61">
        <v>5.0000000000000001E-3</v>
      </c>
      <c r="T8" s="52">
        <v>340.2</v>
      </c>
    </row>
    <row r="9" spans="1:20" ht="15" x14ac:dyDescent="0.25">
      <c r="B9" s="51">
        <v>2023</v>
      </c>
      <c r="C9" s="52">
        <v>81900</v>
      </c>
      <c r="D9" s="52">
        <v>70200</v>
      </c>
      <c r="F9" s="51">
        <v>2023</v>
      </c>
      <c r="G9" s="61">
        <v>0.10249999999999999</v>
      </c>
      <c r="H9" s="52">
        <v>8394.75</v>
      </c>
      <c r="J9" s="61">
        <v>0.1255</v>
      </c>
      <c r="K9" s="52">
        <v>10278.450000000001</v>
      </c>
      <c r="M9" s="61">
        <v>3.8699999999999998E-2</v>
      </c>
      <c r="N9" s="52">
        <v>3169.53</v>
      </c>
      <c r="P9" s="61">
        <v>0.03</v>
      </c>
      <c r="Q9" s="52">
        <v>2457</v>
      </c>
      <c r="S9" s="61">
        <v>5.0000000000000001E-3</v>
      </c>
      <c r="T9" s="52">
        <v>351</v>
      </c>
    </row>
    <row r="10" spans="1:20" ht="15" x14ac:dyDescent="0.25">
      <c r="B10" s="51">
        <v>2024</v>
      </c>
      <c r="C10" s="52">
        <v>84840</v>
      </c>
      <c r="D10" s="52">
        <v>72720</v>
      </c>
      <c r="F10" s="51">
        <v>2024</v>
      </c>
      <c r="G10" s="61">
        <v>0.10249999999999999</v>
      </c>
      <c r="H10" s="52">
        <f>C10*G10</f>
        <v>8696.1</v>
      </c>
      <c r="J10" s="61">
        <v>0.1255</v>
      </c>
      <c r="K10" s="52">
        <f>C10*J10</f>
        <v>10647.42</v>
      </c>
      <c r="M10" s="61">
        <v>3.8699999999999998E-2</v>
      </c>
      <c r="N10" s="52">
        <f>C10*M10</f>
        <v>3283.308</v>
      </c>
      <c r="P10" s="61">
        <v>2.9499999999999998E-2</v>
      </c>
      <c r="Q10" s="52">
        <f>C10*P10</f>
        <v>2502.7799999999997</v>
      </c>
      <c r="S10" s="61">
        <v>5.0000000000000001E-3</v>
      </c>
      <c r="T10" s="52">
        <f>D10*S10</f>
        <v>363.6</v>
      </c>
    </row>
    <row r="11" spans="1:20" x14ac:dyDescent="0.2">
      <c r="C11" s="5"/>
      <c r="D11" s="7"/>
      <c r="G11" s="54"/>
      <c r="H11" s="54"/>
      <c r="J11" s="54"/>
      <c r="K11" s="54"/>
      <c r="M11" s="54"/>
      <c r="N11" s="54"/>
      <c r="P11" s="54"/>
      <c r="Q11" s="54"/>
      <c r="S11" s="54"/>
      <c r="T11" s="54"/>
    </row>
    <row r="12" spans="1:20" ht="15" x14ac:dyDescent="0.25">
      <c r="A12" s="65" t="s">
        <v>32</v>
      </c>
      <c r="B12" s="66"/>
      <c r="C12" s="53" t="e">
        <f>VLOOKUP(Berechnung!B7,'Beitragssätze und Höchstbeträge'!B3:T11,2,FALSE)</f>
        <v>#N/A</v>
      </c>
      <c r="D12" s="53" t="e">
        <f>VLOOKUP(Berechnung!B7,'Beitragssätze und Höchstbeträge'!B3:T11,3,FALSE)</f>
        <v>#N/A</v>
      </c>
      <c r="E12" s="58"/>
      <c r="F12" s="59"/>
      <c r="G12" s="59"/>
      <c r="H12" s="53" t="e">
        <f>VLOOKUP(Berechnung!B7,'Beitragssätze und Höchstbeträge'!B4:T11,7,FALSE)</f>
        <v>#N/A</v>
      </c>
      <c r="I12" s="59"/>
      <c r="J12" s="59"/>
      <c r="K12" s="53" t="e">
        <f>VLOOKUP(Berechnung!B7,'Beitragssätze und Höchstbeträge'!B4:T11,10,FALSE)</f>
        <v>#N/A</v>
      </c>
      <c r="L12" s="59"/>
      <c r="M12" s="59"/>
      <c r="N12" s="53" t="e">
        <f>VLOOKUP(Berechnung!B7,'Beitragssätze und Höchstbeträge'!B4:T11,13,FALSE)</f>
        <v>#N/A</v>
      </c>
      <c r="O12" s="59"/>
      <c r="P12" s="59"/>
      <c r="Q12" s="53" t="e">
        <f>VLOOKUP(Berechnung!B7,'Beitragssätze und Höchstbeträge'!B4:T11,16,FALSE)</f>
        <v>#N/A</v>
      </c>
      <c r="R12" s="59"/>
      <c r="S12" s="59"/>
      <c r="T12" s="53" t="e">
        <f>VLOOKUP(Berechnung!B7,'Beitragssätze und Höchstbeträge'!B4:T11,19,FALSE)</f>
        <v>#N/A</v>
      </c>
    </row>
    <row r="13" spans="1:20" ht="3" customHeight="1" x14ac:dyDescent="0.25">
      <c r="A13" s="23"/>
      <c r="B13" s="7"/>
      <c r="C13" s="55"/>
      <c r="D13" s="55"/>
      <c r="H13" s="55"/>
      <c r="K13" s="55"/>
      <c r="N13" s="55"/>
      <c r="Q13" s="55"/>
      <c r="T13" s="55"/>
    </row>
    <row r="14" spans="1:20" ht="15" x14ac:dyDescent="0.25">
      <c r="A14" s="57" t="s">
        <v>65</v>
      </c>
      <c r="B14" s="16"/>
      <c r="C14" s="62" t="e">
        <f>IF(A14&lt;&gt;"",C12/12*Berechnung!D23,"")</f>
        <v>#N/A</v>
      </c>
      <c r="D14" s="62" t="e">
        <f>IF(A14&lt;&gt;"",D12/12*Berechnung!D23,"")</f>
        <v>#N/A</v>
      </c>
      <c r="E14" s="8"/>
      <c r="F14" s="9"/>
      <c r="G14" s="9"/>
      <c r="H14" s="62" t="e">
        <f>IF(A14&lt;&gt;"",H12/12*Berechnung!D23,"")</f>
        <v>#N/A</v>
      </c>
      <c r="I14" s="9"/>
      <c r="J14" s="9"/>
      <c r="K14" s="62" t="e">
        <f>IF(A14&lt;&gt;"",K12/12*Berechnung!D23,"")</f>
        <v>#N/A</v>
      </c>
      <c r="L14" s="9"/>
      <c r="M14" s="9"/>
      <c r="N14" s="62" t="e">
        <f>IF(A14&lt;&gt;"",N12/12*Berechnung!D23,"")</f>
        <v>#N/A</v>
      </c>
      <c r="O14" s="9"/>
      <c r="P14" s="9"/>
      <c r="Q14" s="62" t="e">
        <f>IF(A14&lt;&gt;"",Q12/12*Berechnung!D23,"")</f>
        <v>#N/A</v>
      </c>
      <c r="R14" s="9"/>
      <c r="S14" s="9"/>
      <c r="T14" s="62" t="e">
        <f>IF(A14&lt;&gt;"",T12/12*Berechnung!D23,"")</f>
        <v>#N/A</v>
      </c>
    </row>
    <row r="15" spans="1:20" x14ac:dyDescent="0.2">
      <c r="H15" s="56"/>
      <c r="K15" s="56"/>
      <c r="N15" s="56"/>
      <c r="Q15" s="56"/>
      <c r="T15" s="56"/>
    </row>
    <row r="16" spans="1:20" ht="15" x14ac:dyDescent="0.25">
      <c r="F16" s="104" t="s">
        <v>33</v>
      </c>
      <c r="G16" s="105"/>
      <c r="H16" s="53" t="e">
        <f>Berechnung!D12*VLOOKUP(Berechnung!B7,'Beitragssätze und Höchstbeträge'!F3:T11,2,FALSE)</f>
        <v>#N/A</v>
      </c>
      <c r="I16" s="59"/>
      <c r="J16" s="59"/>
      <c r="K16" s="53" t="e">
        <f>Berechnung!D12*VLOOKUP(Berechnung!B7,'Beitragssätze und Höchstbeträge'!F3:T11,5,FALSE)</f>
        <v>#N/A</v>
      </c>
      <c r="L16" s="59"/>
      <c r="M16" s="59"/>
      <c r="N16" s="53" t="e">
        <f>Berechnung!D12*VLOOKUP(Berechnung!B7,'Beitragssätze und Höchstbeträge'!F3:T11,8,FALSE)</f>
        <v>#N/A</v>
      </c>
      <c r="O16" s="59"/>
      <c r="P16" s="59"/>
      <c r="Q16" s="53" t="e">
        <f>Berechnung!D12*VLOOKUP(Berechnung!B7,'Beitragssätze und Höchstbeträge'!F3:T11,11,FALSE)</f>
        <v>#N/A</v>
      </c>
      <c r="R16" s="59"/>
      <c r="S16" s="59"/>
      <c r="T16" s="53" t="e">
        <f>(Berechnung!D12-Berechnung!D15)*VLOOKUP(Berechnung!B7,'Beitragssätze und Höchstbeträge'!F3:T11,14,FALSE)</f>
        <v>#N/A</v>
      </c>
    </row>
    <row r="17" spans="6:20" x14ac:dyDescent="0.2">
      <c r="H17" s="56"/>
      <c r="K17" s="56"/>
      <c r="N17" s="56"/>
      <c r="Q17" s="56"/>
      <c r="T17" s="56"/>
    </row>
    <row r="18" spans="6:20" ht="15" x14ac:dyDescent="0.25">
      <c r="F18" s="63" t="s">
        <v>34</v>
      </c>
      <c r="G18" s="64"/>
      <c r="H18" s="53" t="e">
        <f>IF(AND(H14&lt;&gt;"",H14&gt;H16),H16,IF(AND(H14&lt;&gt;"",H14&lt;=H16),H14,IF(AND(H14="",H12&gt;H16),H16,IF(AND(H14="",H12&lt;=H16),H12,""))))</f>
        <v>#N/A</v>
      </c>
      <c r="I18" s="59"/>
      <c r="J18" s="59"/>
      <c r="K18" s="53" t="e">
        <f>IF(AND(K14&lt;&gt;"",K14&gt;K16),K16,IF(AND(K14&lt;&gt;"",K14&lt;=K16),K14,IF(AND(K14="",K12&gt;K16),K16,IF(AND(K14="",K12&lt;=K16),K12,""))))</f>
        <v>#N/A</v>
      </c>
      <c r="L18" s="59"/>
      <c r="M18" s="59"/>
      <c r="N18" s="53" t="e">
        <f>IF(AND(N14&lt;&gt;"",N14&gt;N16),N16,IF(AND(N14&lt;&gt;"",N14&lt;=N16),N14,IF(AND(N14="",N12&gt;N16),N16,IF(AND(N14="",N12&lt;=N16),N12,""))))</f>
        <v>#N/A</v>
      </c>
      <c r="O18" s="59"/>
      <c r="P18" s="59"/>
      <c r="Q18" s="53" t="e">
        <f>IF(AND(Q14&lt;&gt;"",Q14&gt;Q16),Q16,IF(AND(Q14&lt;&gt;"",Q14&lt;=Q16),Q14,IF(AND(Q14="",Q12&gt;Q16),Q16,IF(AND(Q14="",Q12&lt;=Q16),Q12,""))))</f>
        <v>#N/A</v>
      </c>
      <c r="R18" s="59"/>
      <c r="S18" s="59"/>
      <c r="T18" s="53" t="e">
        <f>IF(AND(T14&lt;&gt;"",T14&gt;T16),T16,IF(AND(T14&lt;&gt;"",T14&lt;=T16),T14,IF(AND(T14="",T12&gt;T16),T16,IF(AND(T14="",T12&lt;=T16),T12,""))))</f>
        <v>#N/A</v>
      </c>
    </row>
  </sheetData>
  <sheetProtection algorithmName="SHA-512" hashValue="1Nt77edLMntYAqXkKcNTNIUd08QoNG643UpHl78RVVxDIjhGIYGbYBa8VAua8n/ZQumPnLVNYNnvO1mY0CvgBw==" saltValue="OBuURVx9HkYFZNUWXIB5uQ==" spinCount="100000" sheet="1" objects="1" scenarios="1"/>
  <mergeCells count="8">
    <mergeCell ref="S2:T2"/>
    <mergeCell ref="C2:C3"/>
    <mergeCell ref="D2:D3"/>
    <mergeCell ref="F16:G16"/>
    <mergeCell ref="G2:H2"/>
    <mergeCell ref="J2:K2"/>
    <mergeCell ref="M2:N2"/>
    <mergeCell ref="P2:Q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"/>
  <sheetViews>
    <sheetView workbookViewId="0"/>
  </sheetViews>
  <sheetFormatPr baseColWidth="10" defaultRowHeight="14.25" x14ac:dyDescent="0.2"/>
  <cols>
    <col min="1" max="1" width="49.75" style="68" customWidth="1"/>
    <col min="2" max="15" width="12.375" style="68" customWidth="1"/>
    <col min="16" max="16384" width="11" style="68"/>
  </cols>
  <sheetData>
    <row r="3" spans="1:2" x14ac:dyDescent="0.2">
      <c r="A3" s="68" t="s">
        <v>35</v>
      </c>
      <c r="B3" s="68" t="s">
        <v>36</v>
      </c>
    </row>
    <row r="4" spans="1:2" x14ac:dyDescent="0.2">
      <c r="A4" s="68" t="s">
        <v>37</v>
      </c>
      <c r="B4" s="68" t="s">
        <v>55</v>
      </c>
    </row>
    <row r="5" spans="1:2" x14ac:dyDescent="0.2">
      <c r="A5" s="68" t="s">
        <v>39</v>
      </c>
      <c r="B5" s="68" t="s">
        <v>40</v>
      </c>
    </row>
    <row r="6" spans="1:2" x14ac:dyDescent="0.2">
      <c r="A6" s="68" t="s">
        <v>41</v>
      </c>
      <c r="B6" s="68" t="s">
        <v>56</v>
      </c>
    </row>
    <row r="7" spans="1:2" x14ac:dyDescent="0.2">
      <c r="A7" s="68" t="s">
        <v>42</v>
      </c>
      <c r="B7" s="68" t="s">
        <v>38</v>
      </c>
    </row>
    <row r="8" spans="1:2" x14ac:dyDescent="0.2">
      <c r="A8" s="68" t="s">
        <v>43</v>
      </c>
      <c r="B8" s="68" t="s">
        <v>44</v>
      </c>
    </row>
    <row r="14" spans="1:2" x14ac:dyDescent="0.2">
      <c r="A14" s="68" t="s">
        <v>58</v>
      </c>
    </row>
    <row r="15" spans="1:2" x14ac:dyDescent="0.2">
      <c r="A15" s="68" t="s">
        <v>59</v>
      </c>
    </row>
    <row r="16" spans="1:2" x14ac:dyDescent="0.2">
      <c r="A16" s="68" t="s">
        <v>60</v>
      </c>
    </row>
    <row r="17" spans="1:15" x14ac:dyDescent="0.2">
      <c r="A17" s="68" t="s">
        <v>61</v>
      </c>
    </row>
    <row r="18" spans="1:15" x14ac:dyDescent="0.2">
      <c r="A18" s="68" t="s">
        <v>84</v>
      </c>
    </row>
    <row r="24" spans="1:15" ht="15" x14ac:dyDescent="0.25">
      <c r="B24" s="69">
        <v>2018</v>
      </c>
      <c r="C24" s="69">
        <v>2019</v>
      </c>
      <c r="D24" s="69">
        <v>2020</v>
      </c>
      <c r="E24" s="69">
        <v>2021</v>
      </c>
      <c r="F24" s="69">
        <v>2022</v>
      </c>
      <c r="G24" s="69">
        <v>2023</v>
      </c>
      <c r="H24" s="69">
        <v>2024</v>
      </c>
      <c r="I24" s="69">
        <v>2025</v>
      </c>
      <c r="J24" s="69">
        <v>2026</v>
      </c>
      <c r="K24" s="69">
        <v>2027</v>
      </c>
      <c r="L24" s="69">
        <v>2028</v>
      </c>
      <c r="M24" s="69">
        <v>2029</v>
      </c>
      <c r="N24" s="69">
        <v>2030</v>
      </c>
      <c r="O24" s="69">
        <v>2031</v>
      </c>
    </row>
    <row r="25" spans="1:15" ht="29.25" customHeight="1" x14ac:dyDescent="0.2">
      <c r="A25" s="70" t="s">
        <v>45</v>
      </c>
      <c r="B25" s="71" t="s">
        <v>66</v>
      </c>
      <c r="C25" s="71" t="s">
        <v>66</v>
      </c>
      <c r="D25" s="71" t="s">
        <v>66</v>
      </c>
      <c r="E25" s="71" t="s">
        <v>66</v>
      </c>
      <c r="F25" s="71" t="s">
        <v>66</v>
      </c>
      <c r="G25" s="71" t="s">
        <v>85</v>
      </c>
      <c r="H25" s="71"/>
      <c r="I25" s="71"/>
      <c r="J25" s="71"/>
      <c r="K25" s="71"/>
      <c r="L25" s="71"/>
      <c r="M25" s="71"/>
      <c r="N25" s="71"/>
      <c r="O25" s="71"/>
    </row>
    <row r="26" spans="1:15" ht="29.25" customHeight="1" x14ac:dyDescent="0.2">
      <c r="A26" s="70" t="s">
        <v>46</v>
      </c>
      <c r="B26" s="71" t="s">
        <v>67</v>
      </c>
      <c r="C26" s="71" t="s">
        <v>67</v>
      </c>
      <c r="D26" s="71" t="s">
        <v>67</v>
      </c>
      <c r="E26" s="71" t="s">
        <v>67</v>
      </c>
      <c r="F26" s="71" t="s">
        <v>67</v>
      </c>
      <c r="G26" s="71" t="s">
        <v>67</v>
      </c>
      <c r="H26" s="71"/>
      <c r="I26" s="71"/>
      <c r="J26" s="71"/>
      <c r="K26" s="71"/>
      <c r="L26" s="71"/>
      <c r="M26" s="71"/>
      <c r="N26" s="71"/>
      <c r="O26" s="71"/>
    </row>
    <row r="27" spans="1:15" ht="29.25" customHeight="1" x14ac:dyDescent="0.2">
      <c r="A27" s="70" t="s">
        <v>47</v>
      </c>
      <c r="B27" s="71" t="s">
        <v>68</v>
      </c>
      <c r="C27" s="71" t="s">
        <v>68</v>
      </c>
      <c r="D27" s="71" t="s">
        <v>68</v>
      </c>
      <c r="E27" s="71" t="s">
        <v>68</v>
      </c>
      <c r="F27" s="71" t="s">
        <v>68</v>
      </c>
      <c r="G27" s="71" t="s">
        <v>86</v>
      </c>
      <c r="H27" s="71"/>
      <c r="I27" s="71"/>
      <c r="J27" s="71"/>
      <c r="K27" s="71"/>
      <c r="L27" s="71"/>
      <c r="M27" s="71"/>
      <c r="N27" s="71"/>
      <c r="O27" s="71"/>
    </row>
    <row r="28" spans="1:15" ht="29.25" customHeight="1" x14ac:dyDescent="0.2">
      <c r="A28" s="70" t="s">
        <v>48</v>
      </c>
      <c r="B28" s="71" t="s">
        <v>69</v>
      </c>
      <c r="C28" s="71" t="s">
        <v>70</v>
      </c>
      <c r="D28" s="71" t="s">
        <v>70</v>
      </c>
      <c r="E28" s="71" t="s">
        <v>70</v>
      </c>
      <c r="F28" s="71" t="s">
        <v>70</v>
      </c>
      <c r="G28" s="71" t="s">
        <v>87</v>
      </c>
      <c r="H28" s="71"/>
      <c r="I28" s="71"/>
      <c r="J28" s="71"/>
      <c r="K28" s="71"/>
      <c r="L28" s="71"/>
      <c r="M28" s="71"/>
      <c r="N28" s="71"/>
      <c r="O28" s="71"/>
    </row>
    <row r="29" spans="1:15" ht="29.25" customHeight="1" x14ac:dyDescent="0.2">
      <c r="A29" s="70" t="s">
        <v>49</v>
      </c>
      <c r="B29" s="71" t="s">
        <v>71</v>
      </c>
      <c r="C29" s="71" t="s">
        <v>71</v>
      </c>
      <c r="D29" s="71" t="s">
        <v>72</v>
      </c>
      <c r="E29" s="71" t="s">
        <v>72</v>
      </c>
      <c r="F29" s="71" t="s">
        <v>72</v>
      </c>
      <c r="G29" s="71" t="s">
        <v>88</v>
      </c>
      <c r="H29" s="71"/>
      <c r="I29" s="71"/>
      <c r="J29" s="71"/>
      <c r="K29" s="71"/>
      <c r="L29" s="71"/>
      <c r="M29" s="71"/>
      <c r="N29" s="71"/>
      <c r="O29" s="71"/>
    </row>
    <row r="30" spans="1:15" ht="29.25" customHeight="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29.25" customHeight="1" x14ac:dyDescent="0.2">
      <c r="A31" s="70" t="s">
        <v>50</v>
      </c>
      <c r="B31" s="71" t="s">
        <v>73</v>
      </c>
      <c r="C31" s="71" t="s">
        <v>73</v>
      </c>
      <c r="D31" s="71" t="s">
        <v>73</v>
      </c>
      <c r="E31" s="71" t="s">
        <v>73</v>
      </c>
      <c r="F31" s="71" t="s">
        <v>73</v>
      </c>
      <c r="G31" s="71" t="s">
        <v>73</v>
      </c>
      <c r="H31" s="71"/>
      <c r="I31" s="71"/>
      <c r="J31" s="71"/>
      <c r="K31" s="71"/>
      <c r="L31" s="71"/>
      <c r="M31" s="71"/>
      <c r="N31" s="71"/>
      <c r="O31" s="71"/>
    </row>
    <row r="32" spans="1:15" ht="29.25" customHeight="1" x14ac:dyDescent="0.2">
      <c r="A32" s="70" t="s">
        <v>51</v>
      </c>
      <c r="B32" s="71" t="s">
        <v>74</v>
      </c>
      <c r="C32" s="71" t="s">
        <v>74</v>
      </c>
      <c r="D32" s="71" t="s">
        <v>74</v>
      </c>
      <c r="E32" s="71" t="s">
        <v>74</v>
      </c>
      <c r="F32" s="71" t="s">
        <v>74</v>
      </c>
      <c r="G32" s="71" t="s">
        <v>74</v>
      </c>
      <c r="H32" s="71"/>
      <c r="I32" s="71"/>
      <c r="J32" s="71"/>
      <c r="K32" s="71"/>
      <c r="L32" s="71"/>
      <c r="M32" s="71"/>
      <c r="N32" s="71"/>
      <c r="O32" s="71"/>
    </row>
    <row r="33" spans="1:15" ht="29.25" customHeight="1" x14ac:dyDescent="0.2">
      <c r="A33" s="70" t="s">
        <v>52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89</v>
      </c>
      <c r="H33" s="71"/>
      <c r="I33" s="71"/>
      <c r="J33" s="71"/>
      <c r="K33" s="71"/>
      <c r="L33" s="71"/>
      <c r="M33" s="71"/>
      <c r="N33" s="71"/>
      <c r="O33" s="71"/>
    </row>
    <row r="34" spans="1:15" ht="29.25" customHeight="1" x14ac:dyDescent="0.2">
      <c r="A34" s="70" t="s">
        <v>53</v>
      </c>
      <c r="B34" s="71" t="s">
        <v>76</v>
      </c>
      <c r="C34" s="71" t="s">
        <v>76</v>
      </c>
      <c r="D34" s="71" t="s">
        <v>76</v>
      </c>
      <c r="E34" s="71" t="s">
        <v>76</v>
      </c>
      <c r="F34" s="71" t="s">
        <v>76</v>
      </c>
      <c r="G34" s="71" t="s">
        <v>90</v>
      </c>
      <c r="H34" s="71"/>
      <c r="I34" s="71"/>
      <c r="J34" s="71"/>
      <c r="K34" s="71"/>
      <c r="L34" s="71"/>
      <c r="M34" s="71"/>
      <c r="N34" s="71"/>
      <c r="O34" s="71"/>
    </row>
    <row r="35" spans="1:15" ht="29.25" customHeight="1" x14ac:dyDescent="0.2">
      <c r="A35" s="70" t="s">
        <v>54</v>
      </c>
      <c r="B35" s="71" t="s">
        <v>80</v>
      </c>
      <c r="C35" s="71" t="s">
        <v>81</v>
      </c>
      <c r="D35" s="71" t="s">
        <v>79</v>
      </c>
      <c r="E35" s="71" t="s">
        <v>79</v>
      </c>
      <c r="F35" s="71" t="s">
        <v>79</v>
      </c>
      <c r="G35" s="71" t="s">
        <v>91</v>
      </c>
      <c r="H35" s="71"/>
      <c r="I35" s="71"/>
      <c r="J35" s="71"/>
      <c r="K35" s="71"/>
      <c r="L35" s="71"/>
      <c r="M35" s="71"/>
      <c r="N35" s="71"/>
      <c r="O35" s="71"/>
    </row>
    <row r="36" spans="1:15" ht="29.25" customHeight="1" x14ac:dyDescent="0.2">
      <c r="A36" s="70" t="s">
        <v>22</v>
      </c>
      <c r="B36" s="71" t="s">
        <v>78</v>
      </c>
      <c r="C36" s="71" t="s">
        <v>77</v>
      </c>
      <c r="D36" s="71" t="s">
        <v>77</v>
      </c>
      <c r="E36" s="71" t="s">
        <v>77</v>
      </c>
      <c r="F36" s="71" t="s">
        <v>77</v>
      </c>
      <c r="G36" s="71" t="s">
        <v>92</v>
      </c>
      <c r="H36" s="71"/>
      <c r="I36" s="71"/>
      <c r="J36" s="71"/>
      <c r="K36" s="71"/>
      <c r="L36" s="71"/>
      <c r="M36" s="71"/>
      <c r="N36" s="71"/>
      <c r="O36" s="71"/>
    </row>
  </sheetData>
  <sheetProtection algorithmName="SHA-512" hashValue="6trN/wuQkM2NE46nHQJoXw8299IMb8+NVSQuPIVNDPEQUE2tBSo9nE474uRDmTtVGhgdfJchSk1s6x5mJHrzHg==" saltValue="N7vGOIoiVjJpj5bAhXmGZ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</vt:lpstr>
      <vt:lpstr>Beitragssätze und Höchstbeträge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2024-01-04T15:08:48Z</dcterms:created>
  <dcterms:modified xsi:type="dcterms:W3CDTF">2024-02-07T10:37:44Z</dcterms:modified>
</cp:coreProperties>
</file>